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476"/>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QU 4 B265e 1982</t>
        </is>
      </c>
      <c r="C2" t="inlineStr">
        <is>
          <t>0                      QU 0004000B  265e        1982</t>
        </is>
      </c>
      <c r="D2" t="inlineStr">
        <is>
          <t>Essentials of clinical biochemistry / D.N. Baron.</t>
        </is>
      </c>
      <c r="F2" t="inlineStr">
        <is>
          <t>No</t>
        </is>
      </c>
      <c r="G2" t="inlineStr">
        <is>
          <t>1</t>
        </is>
      </c>
      <c r="H2" t="inlineStr">
        <is>
          <t>No</t>
        </is>
      </c>
      <c r="I2" t="inlineStr">
        <is>
          <t>No</t>
        </is>
      </c>
      <c r="J2" t="inlineStr">
        <is>
          <t>0</t>
        </is>
      </c>
      <c r="K2" t="inlineStr">
        <is>
          <t>Baron, D. N. (Denis Neville)</t>
        </is>
      </c>
      <c r="L2" t="inlineStr">
        <is>
          <t>New York : Elsevier Biomedical, c1982.</t>
        </is>
      </c>
      <c r="M2" t="inlineStr">
        <is>
          <t>1982</t>
        </is>
      </c>
      <c r="O2" t="inlineStr">
        <is>
          <t>eng</t>
        </is>
      </c>
      <c r="P2" t="inlineStr">
        <is>
          <t>xxu</t>
        </is>
      </c>
      <c r="R2" t="inlineStr">
        <is>
          <t xml:space="preserve">QU </t>
        </is>
      </c>
      <c r="S2" t="n">
        <v>3</v>
      </c>
      <c r="T2" t="n">
        <v>3</v>
      </c>
      <c r="U2" t="inlineStr">
        <is>
          <t>1995-04-06</t>
        </is>
      </c>
      <c r="V2" t="inlineStr">
        <is>
          <t>1995-04-06</t>
        </is>
      </c>
      <c r="W2" t="inlineStr">
        <is>
          <t>1988-01-20</t>
        </is>
      </c>
      <c r="X2" t="inlineStr">
        <is>
          <t>1988-01-20</t>
        </is>
      </c>
      <c r="Y2" t="n">
        <v>48</v>
      </c>
      <c r="Z2" t="n">
        <v>45</v>
      </c>
      <c r="AA2" t="n">
        <v>55</v>
      </c>
      <c r="AB2" t="n">
        <v>1</v>
      </c>
      <c r="AC2" t="n">
        <v>1</v>
      </c>
      <c r="AD2" t="n">
        <v>0</v>
      </c>
      <c r="AE2" t="n">
        <v>0</v>
      </c>
      <c r="AF2" t="n">
        <v>0</v>
      </c>
      <c r="AG2" t="n">
        <v>0</v>
      </c>
      <c r="AH2" t="n">
        <v>0</v>
      </c>
      <c r="AI2" t="n">
        <v>0</v>
      </c>
      <c r="AJ2" t="n">
        <v>0</v>
      </c>
      <c r="AK2" t="n">
        <v>0</v>
      </c>
      <c r="AL2" t="n">
        <v>0</v>
      </c>
      <c r="AM2" t="n">
        <v>0</v>
      </c>
      <c r="AN2" t="n">
        <v>0</v>
      </c>
      <c r="AO2" t="n">
        <v>0</v>
      </c>
      <c r="AP2" t="inlineStr">
        <is>
          <t>No</t>
        </is>
      </c>
      <c r="AQ2" t="inlineStr">
        <is>
          <t>No</t>
        </is>
      </c>
      <c r="AS2">
        <f>HYPERLINK("https://creighton-primo.hosted.exlibrisgroup.com/primo-explore/search?tab=default_tab&amp;search_scope=EVERYTHING&amp;vid=01CRU&amp;lang=en_US&amp;offset=0&amp;query=any,contains,991000861739702656","Catalog Record")</f>
        <v/>
      </c>
      <c r="AT2">
        <f>HYPERLINK("http://www.worldcat.org/oclc/9220392","WorldCat Record")</f>
        <v/>
      </c>
      <c r="AU2" t="inlineStr">
        <is>
          <t>3858252:eng</t>
        </is>
      </c>
      <c r="AV2" t="inlineStr">
        <is>
          <t>9220392</t>
        </is>
      </c>
      <c r="AW2" t="inlineStr">
        <is>
          <t>991000861739702656</t>
        </is>
      </c>
      <c r="AX2" t="inlineStr">
        <is>
          <t>991000861739702656</t>
        </is>
      </c>
      <c r="AY2" t="inlineStr">
        <is>
          <t>2267341320002656</t>
        </is>
      </c>
      <c r="AZ2" t="inlineStr">
        <is>
          <t>BOOK</t>
        </is>
      </c>
      <c r="BC2" t="inlineStr">
        <is>
          <t>30001000139263</t>
        </is>
      </c>
      <c r="BD2" t="inlineStr">
        <is>
          <t>893455222</t>
        </is>
      </c>
    </row>
    <row r="3">
      <c r="A3" t="inlineStr">
        <is>
          <t>No</t>
        </is>
      </c>
      <c r="B3" t="inlineStr">
        <is>
          <t>QU 4 B575b 1974</t>
        </is>
      </c>
      <c r="C3" t="inlineStr">
        <is>
          <t>0                      QU 0004000B  575b        1974</t>
        </is>
      </c>
      <c r="D3" t="inlineStr">
        <is>
          <t>Biochemistry : a comprehensive review / [by] N. V. Bhagavan.</t>
        </is>
      </c>
      <c r="F3" t="inlineStr">
        <is>
          <t>No</t>
        </is>
      </c>
      <c r="G3" t="inlineStr">
        <is>
          <t>1</t>
        </is>
      </c>
      <c r="H3" t="inlineStr">
        <is>
          <t>No</t>
        </is>
      </c>
      <c r="I3" t="inlineStr">
        <is>
          <t>No</t>
        </is>
      </c>
      <c r="J3" t="inlineStr">
        <is>
          <t>0</t>
        </is>
      </c>
      <c r="K3" t="inlineStr">
        <is>
          <t>Bhagavan, N. V.</t>
        </is>
      </c>
      <c r="L3" t="inlineStr">
        <is>
          <t>Philadelphia : Lippincott, 1974.</t>
        </is>
      </c>
      <c r="M3" t="inlineStr">
        <is>
          <t>1974</t>
        </is>
      </c>
      <c r="O3" t="inlineStr">
        <is>
          <t>eng</t>
        </is>
      </c>
      <c r="P3" t="inlineStr">
        <is>
          <t>pau</t>
        </is>
      </c>
      <c r="R3" t="inlineStr">
        <is>
          <t xml:space="preserve">QU </t>
        </is>
      </c>
      <c r="S3" t="n">
        <v>8</v>
      </c>
      <c r="T3" t="n">
        <v>8</v>
      </c>
      <c r="U3" t="inlineStr">
        <is>
          <t>1993-11-17</t>
        </is>
      </c>
      <c r="V3" t="inlineStr">
        <is>
          <t>1993-11-17</t>
        </is>
      </c>
      <c r="W3" t="inlineStr">
        <is>
          <t>1990-07-13</t>
        </is>
      </c>
      <c r="X3" t="inlineStr">
        <is>
          <t>1990-07-13</t>
        </is>
      </c>
      <c r="Y3" t="n">
        <v>181</v>
      </c>
      <c r="Z3" t="n">
        <v>131</v>
      </c>
      <c r="AA3" t="n">
        <v>210</v>
      </c>
      <c r="AB3" t="n">
        <v>3</v>
      </c>
      <c r="AC3" t="n">
        <v>3</v>
      </c>
      <c r="AD3" t="n">
        <v>3</v>
      </c>
      <c r="AE3" t="n">
        <v>4</v>
      </c>
      <c r="AF3" t="n">
        <v>1</v>
      </c>
      <c r="AG3" t="n">
        <v>1</v>
      </c>
      <c r="AH3" t="n">
        <v>0</v>
      </c>
      <c r="AI3" t="n">
        <v>0</v>
      </c>
      <c r="AJ3" t="n">
        <v>0</v>
      </c>
      <c r="AK3" t="n">
        <v>1</v>
      </c>
      <c r="AL3" t="n">
        <v>2</v>
      </c>
      <c r="AM3" t="n">
        <v>2</v>
      </c>
      <c r="AN3" t="n">
        <v>0</v>
      </c>
      <c r="AO3" t="n">
        <v>0</v>
      </c>
      <c r="AP3" t="inlineStr">
        <is>
          <t>No</t>
        </is>
      </c>
      <c r="AQ3" t="inlineStr">
        <is>
          <t>Yes</t>
        </is>
      </c>
      <c r="AR3">
        <f>HYPERLINK("http://catalog.hathitrust.org/Record/001576925","HathiTrust Record")</f>
        <v/>
      </c>
      <c r="AS3">
        <f>HYPERLINK("https://creighton-primo.hosted.exlibrisgroup.com/primo-explore/search?tab=default_tab&amp;search_scope=EVERYTHING&amp;vid=01CRU&amp;lang=en_US&amp;offset=0&amp;query=any,contains,991001503839702656","Catalog Record")</f>
        <v/>
      </c>
      <c r="AT3">
        <f>HYPERLINK("http://www.worldcat.org/oclc/841611","WorldCat Record")</f>
        <v/>
      </c>
      <c r="AU3" t="inlineStr">
        <is>
          <t>1786038:eng</t>
        </is>
      </c>
      <c r="AV3" t="inlineStr">
        <is>
          <t>841611</t>
        </is>
      </c>
      <c r="AW3" t="inlineStr">
        <is>
          <t>991001503839702656</t>
        </is>
      </c>
      <c r="AX3" t="inlineStr">
        <is>
          <t>991001503839702656</t>
        </is>
      </c>
      <c r="AY3" t="inlineStr">
        <is>
          <t>2265021800002656</t>
        </is>
      </c>
      <c r="AZ3" t="inlineStr">
        <is>
          <t>BOOK</t>
        </is>
      </c>
      <c r="BB3" t="inlineStr">
        <is>
          <t>9780397520633</t>
        </is>
      </c>
      <c r="BC3" t="inlineStr">
        <is>
          <t>30001001927450</t>
        </is>
      </c>
      <c r="BD3" t="inlineStr">
        <is>
          <t>893358671</t>
        </is>
      </c>
    </row>
    <row r="4">
      <c r="A4" t="inlineStr">
        <is>
          <t>No</t>
        </is>
      </c>
      <c r="B4" t="inlineStr">
        <is>
          <t>QU 4 B6158s 1983 v.2-3</t>
        </is>
      </c>
      <c r="C4" t="inlineStr">
        <is>
          <t>0                      QU 0004000B  6158s       1983                                        v.2-3</t>
        </is>
      </c>
      <c r="D4" t="inlineStr">
        <is>
          <t>Biochemistry of smooth muscle / editor, Newman L. Stephens.</t>
        </is>
      </c>
      <c r="E4" t="inlineStr">
        <is>
          <t>V. 2</t>
        </is>
      </c>
      <c r="F4" t="inlineStr">
        <is>
          <t>Yes</t>
        </is>
      </c>
      <c r="G4" t="inlineStr">
        <is>
          <t>1</t>
        </is>
      </c>
      <c r="H4" t="inlineStr">
        <is>
          <t>No</t>
        </is>
      </c>
      <c r="I4" t="inlineStr">
        <is>
          <t>No</t>
        </is>
      </c>
      <c r="J4" t="inlineStr">
        <is>
          <t>0</t>
        </is>
      </c>
      <c r="L4" t="inlineStr">
        <is>
          <t>Boca Raton, Fla. : CRC Press, c1983.</t>
        </is>
      </c>
      <c r="M4" t="inlineStr">
        <is>
          <t>1983</t>
        </is>
      </c>
      <c r="O4" t="inlineStr">
        <is>
          <t>eng</t>
        </is>
      </c>
      <c r="P4" t="inlineStr">
        <is>
          <t>xxu</t>
        </is>
      </c>
      <c r="R4" t="inlineStr">
        <is>
          <t xml:space="preserve">QU </t>
        </is>
      </c>
      <c r="S4" t="n">
        <v>2</v>
      </c>
      <c r="T4" t="n">
        <v>3</v>
      </c>
      <c r="U4" t="inlineStr">
        <is>
          <t>2005-07-07</t>
        </is>
      </c>
      <c r="V4" t="inlineStr">
        <is>
          <t>2005-07-07</t>
        </is>
      </c>
      <c r="W4" t="inlineStr">
        <is>
          <t>1988-01-20</t>
        </is>
      </c>
      <c r="X4" t="inlineStr">
        <is>
          <t>1988-03-23</t>
        </is>
      </c>
      <c r="Y4" t="n">
        <v>167</v>
      </c>
      <c r="Z4" t="n">
        <v>131</v>
      </c>
      <c r="AA4" t="n">
        <v>132</v>
      </c>
      <c r="AB4" t="n">
        <v>2</v>
      </c>
      <c r="AC4" t="n">
        <v>2</v>
      </c>
      <c r="AD4" t="n">
        <v>3</v>
      </c>
      <c r="AE4" t="n">
        <v>3</v>
      </c>
      <c r="AF4" t="n">
        <v>0</v>
      </c>
      <c r="AG4" t="n">
        <v>0</v>
      </c>
      <c r="AH4" t="n">
        <v>1</v>
      </c>
      <c r="AI4" t="n">
        <v>1</v>
      </c>
      <c r="AJ4" t="n">
        <v>2</v>
      </c>
      <c r="AK4" t="n">
        <v>2</v>
      </c>
      <c r="AL4" t="n">
        <v>1</v>
      </c>
      <c r="AM4" t="n">
        <v>1</v>
      </c>
      <c r="AN4" t="n">
        <v>0</v>
      </c>
      <c r="AO4" t="n">
        <v>0</v>
      </c>
      <c r="AP4" t="inlineStr">
        <is>
          <t>No</t>
        </is>
      </c>
      <c r="AQ4" t="inlineStr">
        <is>
          <t>Yes</t>
        </is>
      </c>
      <c r="AR4">
        <f>HYPERLINK("http://catalog.hathitrust.org/Record/008331274","HathiTrust Record")</f>
        <v/>
      </c>
      <c r="AS4">
        <f>HYPERLINK("https://creighton-primo.hosted.exlibrisgroup.com/primo-explore/search?tab=default_tab&amp;search_scope=EVERYTHING&amp;vid=01CRU&amp;lang=en_US&amp;offset=0&amp;query=any,contains,991000861809702656","Catalog Record")</f>
        <v/>
      </c>
      <c r="AT4">
        <f>HYPERLINK("http://www.worldcat.org/oclc/8553453","WorldCat Record")</f>
        <v/>
      </c>
      <c r="AU4" t="inlineStr">
        <is>
          <t>3372339530:eng</t>
        </is>
      </c>
      <c r="AV4" t="inlineStr">
        <is>
          <t>8553453</t>
        </is>
      </c>
      <c r="AW4" t="inlineStr">
        <is>
          <t>991000861809702656</t>
        </is>
      </c>
      <c r="AX4" t="inlineStr">
        <is>
          <t>991000861809702656</t>
        </is>
      </c>
      <c r="AY4" t="inlineStr">
        <is>
          <t>2256492070002656</t>
        </is>
      </c>
      <c r="AZ4" t="inlineStr">
        <is>
          <t>BOOK</t>
        </is>
      </c>
      <c r="BB4" t="inlineStr">
        <is>
          <t>9780849365751</t>
        </is>
      </c>
      <c r="BC4" t="inlineStr">
        <is>
          <t>30001000139388</t>
        </is>
      </c>
      <c r="BD4" t="inlineStr">
        <is>
          <t>893820644</t>
        </is>
      </c>
    </row>
    <row r="5">
      <c r="A5" t="inlineStr">
        <is>
          <t>No</t>
        </is>
      </c>
      <c r="B5" t="inlineStr">
        <is>
          <t>QU 4 B6158s 1983 v.2-3</t>
        </is>
      </c>
      <c r="C5" t="inlineStr">
        <is>
          <t>0                      QU 0004000B  6158s       1983                                        v.2-3</t>
        </is>
      </c>
      <c r="D5" t="inlineStr">
        <is>
          <t>Biochemistry of smooth muscle / editor, Newman L. Stephens.</t>
        </is>
      </c>
      <c r="E5" t="inlineStr">
        <is>
          <t>V. 3</t>
        </is>
      </c>
      <c r="F5" t="inlineStr">
        <is>
          <t>Yes</t>
        </is>
      </c>
      <c r="G5" t="inlineStr">
        <is>
          <t>1</t>
        </is>
      </c>
      <c r="H5" t="inlineStr">
        <is>
          <t>No</t>
        </is>
      </c>
      <c r="I5" t="inlineStr">
        <is>
          <t>No</t>
        </is>
      </c>
      <c r="J5" t="inlineStr">
        <is>
          <t>0</t>
        </is>
      </c>
      <c r="L5" t="inlineStr">
        <is>
          <t>Boca Raton, Fla. : CRC Press, c1983.</t>
        </is>
      </c>
      <c r="M5" t="inlineStr">
        <is>
          <t>1983</t>
        </is>
      </c>
      <c r="O5" t="inlineStr">
        <is>
          <t>eng</t>
        </is>
      </c>
      <c r="P5" t="inlineStr">
        <is>
          <t>xxu</t>
        </is>
      </c>
      <c r="R5" t="inlineStr">
        <is>
          <t xml:space="preserve">QU </t>
        </is>
      </c>
      <c r="S5" t="n">
        <v>1</v>
      </c>
      <c r="T5" t="n">
        <v>3</v>
      </c>
      <c r="U5" t="inlineStr">
        <is>
          <t>1994-09-29</t>
        </is>
      </c>
      <c r="V5" t="inlineStr">
        <is>
          <t>2005-07-07</t>
        </is>
      </c>
      <c r="W5" t="inlineStr">
        <is>
          <t>1988-03-23</t>
        </is>
      </c>
      <c r="X5" t="inlineStr">
        <is>
          <t>1988-03-23</t>
        </is>
      </c>
      <c r="Y5" t="n">
        <v>167</v>
      </c>
      <c r="Z5" t="n">
        <v>131</v>
      </c>
      <c r="AA5" t="n">
        <v>132</v>
      </c>
      <c r="AB5" t="n">
        <v>2</v>
      </c>
      <c r="AC5" t="n">
        <v>2</v>
      </c>
      <c r="AD5" t="n">
        <v>3</v>
      </c>
      <c r="AE5" t="n">
        <v>3</v>
      </c>
      <c r="AF5" t="n">
        <v>0</v>
      </c>
      <c r="AG5" t="n">
        <v>0</v>
      </c>
      <c r="AH5" t="n">
        <v>1</v>
      </c>
      <c r="AI5" t="n">
        <v>1</v>
      </c>
      <c r="AJ5" t="n">
        <v>2</v>
      </c>
      <c r="AK5" t="n">
        <v>2</v>
      </c>
      <c r="AL5" t="n">
        <v>1</v>
      </c>
      <c r="AM5" t="n">
        <v>1</v>
      </c>
      <c r="AN5" t="n">
        <v>0</v>
      </c>
      <c r="AO5" t="n">
        <v>0</v>
      </c>
      <c r="AP5" t="inlineStr">
        <is>
          <t>No</t>
        </is>
      </c>
      <c r="AQ5" t="inlineStr">
        <is>
          <t>Yes</t>
        </is>
      </c>
      <c r="AR5">
        <f>HYPERLINK("http://catalog.hathitrust.org/Record/008331274","HathiTrust Record")</f>
        <v/>
      </c>
      <c r="AS5">
        <f>HYPERLINK("https://creighton-primo.hosted.exlibrisgroup.com/primo-explore/search?tab=default_tab&amp;search_scope=EVERYTHING&amp;vid=01CRU&amp;lang=en_US&amp;offset=0&amp;query=any,contains,991000861809702656","Catalog Record")</f>
        <v/>
      </c>
      <c r="AT5">
        <f>HYPERLINK("http://www.worldcat.org/oclc/8553453","WorldCat Record")</f>
        <v/>
      </c>
      <c r="AU5" t="inlineStr">
        <is>
          <t>3372339530:eng</t>
        </is>
      </c>
      <c r="AV5" t="inlineStr">
        <is>
          <t>8553453</t>
        </is>
      </c>
      <c r="AW5" t="inlineStr">
        <is>
          <t>991000861809702656</t>
        </is>
      </c>
      <c r="AX5" t="inlineStr">
        <is>
          <t>991000861809702656</t>
        </is>
      </c>
      <c r="AY5" t="inlineStr">
        <is>
          <t>2256492070002656</t>
        </is>
      </c>
      <c r="AZ5" t="inlineStr">
        <is>
          <t>BOOK</t>
        </is>
      </c>
      <c r="BB5" t="inlineStr">
        <is>
          <t>9780849365751</t>
        </is>
      </c>
      <c r="BC5" t="inlineStr">
        <is>
          <t>30001000139370</t>
        </is>
      </c>
      <c r="BD5" t="inlineStr">
        <is>
          <t>893834417</t>
        </is>
      </c>
    </row>
    <row r="6">
      <c r="A6" t="inlineStr">
        <is>
          <t>No</t>
        </is>
      </c>
      <c r="B6" t="inlineStr">
        <is>
          <t>QU 4 B616 1992</t>
        </is>
      </c>
      <c r="C6" t="inlineStr">
        <is>
          <t>0                      QU 0004000B  616         1992</t>
        </is>
      </c>
      <c r="D6" t="inlineStr">
        <is>
          <t>Biosynthesis / [edited by] C.A. Smith and E.J. Wood.</t>
        </is>
      </c>
      <c r="F6" t="inlineStr">
        <is>
          <t>No</t>
        </is>
      </c>
      <c r="G6" t="inlineStr">
        <is>
          <t>1</t>
        </is>
      </c>
      <c r="H6" t="inlineStr">
        <is>
          <t>No</t>
        </is>
      </c>
      <c r="I6" t="inlineStr">
        <is>
          <t>No</t>
        </is>
      </c>
      <c r="J6" t="inlineStr">
        <is>
          <t>0</t>
        </is>
      </c>
      <c r="L6" t="inlineStr">
        <is>
          <t>New York : Chapman and Hall, c1992.</t>
        </is>
      </c>
      <c r="M6" t="inlineStr">
        <is>
          <t>1992</t>
        </is>
      </c>
      <c r="O6" t="inlineStr">
        <is>
          <t>eng</t>
        </is>
      </c>
      <c r="P6" t="inlineStr">
        <is>
          <t>nyu</t>
        </is>
      </c>
      <c r="Q6" t="inlineStr">
        <is>
          <t>Molecular and cell biochemistry</t>
        </is>
      </c>
      <c r="R6" t="inlineStr">
        <is>
          <t xml:space="preserve">QU </t>
        </is>
      </c>
      <c r="S6" t="n">
        <v>6</v>
      </c>
      <c r="T6" t="n">
        <v>6</v>
      </c>
      <c r="U6" t="inlineStr">
        <is>
          <t>1998-11-20</t>
        </is>
      </c>
      <c r="V6" t="inlineStr">
        <is>
          <t>1998-11-20</t>
        </is>
      </c>
      <c r="W6" t="inlineStr">
        <is>
          <t>1991-10-10</t>
        </is>
      </c>
      <c r="X6" t="inlineStr">
        <is>
          <t>1991-10-10</t>
        </is>
      </c>
      <c r="Y6" t="n">
        <v>210</v>
      </c>
      <c r="Z6" t="n">
        <v>102</v>
      </c>
      <c r="AA6" t="n">
        <v>112</v>
      </c>
      <c r="AB6" t="n">
        <v>1</v>
      </c>
      <c r="AC6" t="n">
        <v>1</v>
      </c>
      <c r="AD6" t="n">
        <v>4</v>
      </c>
      <c r="AE6" t="n">
        <v>4</v>
      </c>
      <c r="AF6" t="n">
        <v>2</v>
      </c>
      <c r="AG6" t="n">
        <v>2</v>
      </c>
      <c r="AH6" t="n">
        <v>1</v>
      </c>
      <c r="AI6" t="n">
        <v>1</v>
      </c>
      <c r="AJ6" t="n">
        <v>2</v>
      </c>
      <c r="AK6" t="n">
        <v>2</v>
      </c>
      <c r="AL6" t="n">
        <v>0</v>
      </c>
      <c r="AM6" t="n">
        <v>0</v>
      </c>
      <c r="AN6" t="n">
        <v>0</v>
      </c>
      <c r="AO6" t="n">
        <v>0</v>
      </c>
      <c r="AP6" t="inlineStr">
        <is>
          <t>No</t>
        </is>
      </c>
      <c r="AQ6" t="inlineStr">
        <is>
          <t>Yes</t>
        </is>
      </c>
      <c r="AR6">
        <f>HYPERLINK("http://catalog.hathitrust.org/Record/002563611","HathiTrust Record")</f>
        <v/>
      </c>
      <c r="AS6">
        <f>HYPERLINK("https://creighton-primo.hosted.exlibrisgroup.com/primo-explore/search?tab=default_tab&amp;search_scope=EVERYTHING&amp;vid=01CRU&amp;lang=en_US&amp;offset=0&amp;query=any,contains,991001012859702656","Catalog Record")</f>
        <v/>
      </c>
      <c r="AT6">
        <f>HYPERLINK("http://www.worldcat.org/oclc/23355630","WorldCat Record")</f>
        <v/>
      </c>
      <c r="AU6" t="inlineStr">
        <is>
          <t>152286473:eng</t>
        </is>
      </c>
      <c r="AV6" t="inlineStr">
        <is>
          <t>23355630</t>
        </is>
      </c>
      <c r="AW6" t="inlineStr">
        <is>
          <t>991001012859702656</t>
        </is>
      </c>
      <c r="AX6" t="inlineStr">
        <is>
          <t>991001012859702656</t>
        </is>
      </c>
      <c r="AY6" t="inlineStr">
        <is>
          <t>2272757160002656</t>
        </is>
      </c>
      <c r="AZ6" t="inlineStr">
        <is>
          <t>BOOK</t>
        </is>
      </c>
      <c r="BB6" t="inlineStr">
        <is>
          <t>9780412407604</t>
        </is>
      </c>
      <c r="BC6" t="inlineStr">
        <is>
          <t>30001002240101</t>
        </is>
      </c>
      <c r="BD6" t="inlineStr">
        <is>
          <t>893273601</t>
        </is>
      </c>
    </row>
    <row r="7">
      <c r="A7" t="inlineStr">
        <is>
          <t>No</t>
        </is>
      </c>
      <c r="B7" t="inlineStr">
        <is>
          <t>QU4 C189b 2003</t>
        </is>
      </c>
      <c r="C7" t="inlineStr">
        <is>
          <t>0                      QU 0004000C  189b        2003</t>
        </is>
      </c>
      <c r="D7" t="inlineStr">
        <is>
          <t>Biochemistry / Mary Campbell and Shawn Farrell.</t>
        </is>
      </c>
      <c r="F7" t="inlineStr">
        <is>
          <t>No</t>
        </is>
      </c>
      <c r="G7" t="inlineStr">
        <is>
          <t>1</t>
        </is>
      </c>
      <c r="H7" t="inlineStr">
        <is>
          <t>No</t>
        </is>
      </c>
      <c r="I7" t="inlineStr">
        <is>
          <t>No</t>
        </is>
      </c>
      <c r="J7" t="inlineStr">
        <is>
          <t>0</t>
        </is>
      </c>
      <c r="K7" t="inlineStr">
        <is>
          <t>Campbell, Mary, 1917-2002.</t>
        </is>
      </c>
      <c r="L7" t="inlineStr">
        <is>
          <t>Pacific Grove, Calif. : London : Brooks/Cole, 2002.</t>
        </is>
      </c>
      <c r="M7" t="inlineStr">
        <is>
          <t>2002</t>
        </is>
      </c>
      <c r="N7" t="inlineStr">
        <is>
          <t>4th ed.</t>
        </is>
      </c>
      <c r="O7" t="inlineStr">
        <is>
          <t>eng</t>
        </is>
      </c>
      <c r="P7" t="inlineStr">
        <is>
          <t>enk</t>
        </is>
      </c>
      <c r="R7" t="inlineStr">
        <is>
          <t xml:space="preserve">QU </t>
        </is>
      </c>
      <c r="S7" t="n">
        <v>184</v>
      </c>
      <c r="T7" t="n">
        <v>184</v>
      </c>
      <c r="U7" t="inlineStr">
        <is>
          <t>2004-12-10</t>
        </is>
      </c>
      <c r="V7" t="inlineStr">
        <is>
          <t>2004-12-10</t>
        </is>
      </c>
      <c r="W7" t="inlineStr">
        <is>
          <t>2002-08-23</t>
        </is>
      </c>
      <c r="X7" t="inlineStr">
        <is>
          <t>2002-08-23</t>
        </is>
      </c>
      <c r="Y7" t="n">
        <v>20</v>
      </c>
      <c r="Z7" t="n">
        <v>6</v>
      </c>
      <c r="AA7" t="n">
        <v>13</v>
      </c>
      <c r="AB7" t="n">
        <v>1</v>
      </c>
      <c r="AC7" t="n">
        <v>1</v>
      </c>
      <c r="AD7" t="n">
        <v>0</v>
      </c>
      <c r="AE7" t="n">
        <v>0</v>
      </c>
      <c r="AF7" t="n">
        <v>0</v>
      </c>
      <c r="AG7" t="n">
        <v>0</v>
      </c>
      <c r="AH7" t="n">
        <v>0</v>
      </c>
      <c r="AI7" t="n">
        <v>0</v>
      </c>
      <c r="AJ7" t="n">
        <v>0</v>
      </c>
      <c r="AK7" t="n">
        <v>0</v>
      </c>
      <c r="AL7" t="n">
        <v>0</v>
      </c>
      <c r="AM7" t="n">
        <v>0</v>
      </c>
      <c r="AN7" t="n">
        <v>0</v>
      </c>
      <c r="AO7" t="n">
        <v>0</v>
      </c>
      <c r="AP7" t="inlineStr">
        <is>
          <t>No</t>
        </is>
      </c>
      <c r="AQ7" t="inlineStr">
        <is>
          <t>No</t>
        </is>
      </c>
      <c r="AS7">
        <f>HYPERLINK("https://creighton-primo.hosted.exlibrisgroup.com/primo-explore/search?tab=default_tab&amp;search_scope=EVERYTHING&amp;vid=01CRU&amp;lang=en_US&amp;offset=0&amp;query=any,contains,991000328299702656","Catalog Record")</f>
        <v/>
      </c>
      <c r="AT7">
        <f>HYPERLINK("http://www.worldcat.org/oclc/49833218","WorldCat Record")</f>
        <v/>
      </c>
      <c r="AU7" t="inlineStr">
        <is>
          <t>5453818970:eng</t>
        </is>
      </c>
      <c r="AV7" t="inlineStr">
        <is>
          <t>49833218</t>
        </is>
      </c>
      <c r="AW7" t="inlineStr">
        <is>
          <t>991000328299702656</t>
        </is>
      </c>
      <c r="AX7" t="inlineStr">
        <is>
          <t>991000328299702656</t>
        </is>
      </c>
      <c r="AY7" t="inlineStr">
        <is>
          <t>2258601810002656</t>
        </is>
      </c>
      <c r="AZ7" t="inlineStr">
        <is>
          <t>BOOK</t>
        </is>
      </c>
      <c r="BB7" t="inlineStr">
        <is>
          <t>9780030348495</t>
        </is>
      </c>
      <c r="BC7" t="inlineStr">
        <is>
          <t>30001004239838</t>
        </is>
      </c>
      <c r="BD7" t="inlineStr">
        <is>
          <t>893264124</t>
        </is>
      </c>
    </row>
    <row r="8">
      <c r="A8" t="inlineStr">
        <is>
          <t>No</t>
        </is>
      </c>
      <c r="B8" t="inlineStr">
        <is>
          <t>QU4 C189b 2006</t>
        </is>
      </c>
      <c r="C8" t="inlineStr">
        <is>
          <t>0                      QU 0004000C  189b        2006</t>
        </is>
      </c>
      <c r="D8" t="inlineStr">
        <is>
          <t>Biochemistry / Mary K. Campbell, Shawn O. Farrell.</t>
        </is>
      </c>
      <c r="F8" t="inlineStr">
        <is>
          <t>No</t>
        </is>
      </c>
      <c r="G8" t="inlineStr">
        <is>
          <t>1</t>
        </is>
      </c>
      <c r="H8" t="inlineStr">
        <is>
          <t>No</t>
        </is>
      </c>
      <c r="I8" t="inlineStr">
        <is>
          <t>Yes</t>
        </is>
      </c>
      <c r="J8" t="inlineStr">
        <is>
          <t>0</t>
        </is>
      </c>
      <c r="K8" t="inlineStr">
        <is>
          <t>Campbell, Mary K.</t>
        </is>
      </c>
      <c r="L8" t="inlineStr">
        <is>
          <t>Pacific Grove, Calif. : Brooks/Cole, 2006.</t>
        </is>
      </c>
      <c r="M8" t="inlineStr">
        <is>
          <t>2006</t>
        </is>
      </c>
      <c r="N8" t="inlineStr">
        <is>
          <t>5th international student ed.</t>
        </is>
      </c>
      <c r="O8" t="inlineStr">
        <is>
          <t>eng</t>
        </is>
      </c>
      <c r="P8" t="inlineStr">
        <is>
          <t>cau</t>
        </is>
      </c>
      <c r="R8" t="inlineStr">
        <is>
          <t xml:space="preserve">QU </t>
        </is>
      </c>
      <c r="S8" t="n">
        <v>125</v>
      </c>
      <c r="T8" t="n">
        <v>125</v>
      </c>
      <c r="U8" t="inlineStr">
        <is>
          <t>2006-12-07</t>
        </is>
      </c>
      <c r="V8" t="inlineStr">
        <is>
          <t>2006-12-07</t>
        </is>
      </c>
      <c r="W8" t="inlineStr">
        <is>
          <t>2005-08-17</t>
        </is>
      </c>
      <c r="X8" t="inlineStr">
        <is>
          <t>2005-08-17</t>
        </is>
      </c>
      <c r="Y8" t="n">
        <v>116</v>
      </c>
      <c r="Z8" t="n">
        <v>48</v>
      </c>
      <c r="AA8" t="n">
        <v>296</v>
      </c>
      <c r="AB8" t="n">
        <v>1</v>
      </c>
      <c r="AC8" t="n">
        <v>1</v>
      </c>
      <c r="AD8" t="n">
        <v>0</v>
      </c>
      <c r="AE8" t="n">
        <v>6</v>
      </c>
      <c r="AF8" t="n">
        <v>0</v>
      </c>
      <c r="AG8" t="n">
        <v>1</v>
      </c>
      <c r="AH8" t="n">
        <v>0</v>
      </c>
      <c r="AI8" t="n">
        <v>1</v>
      </c>
      <c r="AJ8" t="n">
        <v>0</v>
      </c>
      <c r="AK8" t="n">
        <v>5</v>
      </c>
      <c r="AL8" t="n">
        <v>0</v>
      </c>
      <c r="AM8" t="n">
        <v>0</v>
      </c>
      <c r="AN8" t="n">
        <v>0</v>
      </c>
      <c r="AO8" t="n">
        <v>0</v>
      </c>
      <c r="AP8" t="inlineStr">
        <is>
          <t>No</t>
        </is>
      </c>
      <c r="AQ8" t="inlineStr">
        <is>
          <t>No</t>
        </is>
      </c>
      <c r="AS8">
        <f>HYPERLINK("https://creighton-primo.hosted.exlibrisgroup.com/primo-explore/search?tab=default_tab&amp;search_scope=EVERYTHING&amp;vid=01CRU&amp;lang=en_US&amp;offset=0&amp;query=any,contains,991000442339702656","Catalog Record")</f>
        <v/>
      </c>
      <c r="AT8">
        <f>HYPERLINK("http://www.worldcat.org/oclc/59130150","WorldCat Record")</f>
        <v/>
      </c>
      <c r="AU8" t="inlineStr">
        <is>
          <t>283580580:eng</t>
        </is>
      </c>
      <c r="AV8" t="inlineStr">
        <is>
          <t>59130150</t>
        </is>
      </c>
      <c r="AW8" t="inlineStr">
        <is>
          <t>991000442339702656</t>
        </is>
      </c>
      <c r="AX8" t="inlineStr">
        <is>
          <t>991000442339702656</t>
        </is>
      </c>
      <c r="AY8" t="inlineStr">
        <is>
          <t>2270638070002656</t>
        </is>
      </c>
      <c r="AZ8" t="inlineStr">
        <is>
          <t>BOOK</t>
        </is>
      </c>
      <c r="BB8" t="inlineStr">
        <is>
          <t>9780534394998</t>
        </is>
      </c>
      <c r="BC8" t="inlineStr">
        <is>
          <t>30001005420544</t>
        </is>
      </c>
      <c r="BD8" t="inlineStr">
        <is>
          <t>893811509</t>
        </is>
      </c>
    </row>
    <row r="9">
      <c r="A9" t="inlineStr">
        <is>
          <t>No</t>
        </is>
      </c>
      <c r="B9" t="inlineStr">
        <is>
          <t>QU 4 C229b 1975</t>
        </is>
      </c>
      <c r="C9" t="inlineStr">
        <is>
          <t>0                      QU 0004000C  229b        1975</t>
        </is>
      </c>
      <c r="D9" t="inlineStr">
        <is>
          <t>Clinical biochemistry / Cantarow and Trumper ; with a chapter on hormone assay and endocrine function by Reginald Hall and Gordon M. Besser.</t>
        </is>
      </c>
      <c r="F9" t="inlineStr">
        <is>
          <t>No</t>
        </is>
      </c>
      <c r="G9" t="inlineStr">
        <is>
          <t>1</t>
        </is>
      </c>
      <c r="H9" t="inlineStr">
        <is>
          <t>No</t>
        </is>
      </c>
      <c r="I9" t="inlineStr">
        <is>
          <t>No</t>
        </is>
      </c>
      <c r="J9" t="inlineStr">
        <is>
          <t>0</t>
        </is>
      </c>
      <c r="K9" t="inlineStr">
        <is>
          <t>Cantarow, Abraham, 1901-1979.</t>
        </is>
      </c>
      <c r="L9" t="inlineStr">
        <is>
          <t>Philadelphia : Saunders, c1975.</t>
        </is>
      </c>
      <c r="M9" t="inlineStr">
        <is>
          <t>1975</t>
        </is>
      </c>
      <c r="N9" t="inlineStr">
        <is>
          <t>7th ed. / Albert L. Latner.</t>
        </is>
      </c>
      <c r="O9" t="inlineStr">
        <is>
          <t>eng</t>
        </is>
      </c>
      <c r="P9" t="inlineStr">
        <is>
          <t>pau</t>
        </is>
      </c>
      <c r="R9" t="inlineStr">
        <is>
          <t xml:space="preserve">QU </t>
        </is>
      </c>
      <c r="S9" t="n">
        <v>12</v>
      </c>
      <c r="T9" t="n">
        <v>12</v>
      </c>
      <c r="U9" t="inlineStr">
        <is>
          <t>1991-11-25</t>
        </is>
      </c>
      <c r="V9" t="inlineStr">
        <is>
          <t>1991-11-25</t>
        </is>
      </c>
      <c r="W9" t="inlineStr">
        <is>
          <t>1988-01-23</t>
        </is>
      </c>
      <c r="X9" t="inlineStr">
        <is>
          <t>1988-01-23</t>
        </is>
      </c>
      <c r="Y9" t="n">
        <v>251</v>
      </c>
      <c r="Z9" t="n">
        <v>200</v>
      </c>
      <c r="AA9" t="n">
        <v>207</v>
      </c>
      <c r="AB9" t="n">
        <v>2</v>
      </c>
      <c r="AC9" t="n">
        <v>2</v>
      </c>
      <c r="AD9" t="n">
        <v>3</v>
      </c>
      <c r="AE9" t="n">
        <v>3</v>
      </c>
      <c r="AF9" t="n">
        <v>0</v>
      </c>
      <c r="AG9" t="n">
        <v>0</v>
      </c>
      <c r="AH9" t="n">
        <v>1</v>
      </c>
      <c r="AI9" t="n">
        <v>1</v>
      </c>
      <c r="AJ9" t="n">
        <v>2</v>
      </c>
      <c r="AK9" t="n">
        <v>2</v>
      </c>
      <c r="AL9" t="n">
        <v>1</v>
      </c>
      <c r="AM9" t="n">
        <v>1</v>
      </c>
      <c r="AN9" t="n">
        <v>0</v>
      </c>
      <c r="AO9" t="n">
        <v>0</v>
      </c>
      <c r="AP9" t="inlineStr">
        <is>
          <t>No</t>
        </is>
      </c>
      <c r="AQ9" t="inlineStr">
        <is>
          <t>Yes</t>
        </is>
      </c>
      <c r="AR9">
        <f>HYPERLINK("http://catalog.hathitrust.org/Record/000043560","HathiTrust Record")</f>
        <v/>
      </c>
      <c r="AS9">
        <f>HYPERLINK("https://creighton-primo.hosted.exlibrisgroup.com/primo-explore/search?tab=default_tab&amp;search_scope=EVERYTHING&amp;vid=01CRU&amp;lang=en_US&amp;offset=0&amp;query=any,contains,991000862289702656","Catalog Record")</f>
        <v/>
      </c>
      <c r="AT9">
        <f>HYPERLINK("http://www.worldcat.org/oclc/1194918","WorldCat Record")</f>
        <v/>
      </c>
      <c r="AU9" t="inlineStr">
        <is>
          <t>5608781320:eng</t>
        </is>
      </c>
      <c r="AV9" t="inlineStr">
        <is>
          <t>1194918</t>
        </is>
      </c>
      <c r="AW9" t="inlineStr">
        <is>
          <t>991000862289702656</t>
        </is>
      </c>
      <c r="AX9" t="inlineStr">
        <is>
          <t>991000862289702656</t>
        </is>
      </c>
      <c r="AY9" t="inlineStr">
        <is>
          <t>2260637140002656</t>
        </is>
      </c>
      <c r="AZ9" t="inlineStr">
        <is>
          <t>BOOK</t>
        </is>
      </c>
      <c r="BB9" t="inlineStr">
        <is>
          <t>9780721656373</t>
        </is>
      </c>
      <c r="BC9" t="inlineStr">
        <is>
          <t>30001000139669</t>
        </is>
      </c>
      <c r="BD9" t="inlineStr">
        <is>
          <t>893648622</t>
        </is>
      </c>
    </row>
    <row r="10">
      <c r="A10" t="inlineStr">
        <is>
          <t>No</t>
        </is>
      </c>
      <c r="B10" t="inlineStr">
        <is>
          <t>QU 4 C641 1987</t>
        </is>
      </c>
      <c r="C10" t="inlineStr">
        <is>
          <t>0                      QU 0004000C  641         1987</t>
        </is>
      </c>
      <c r="D10" t="inlineStr">
        <is>
          <t>Clinical studies in medical biochemistry / edited by Robert H. Glew and Stephen P. Peters.</t>
        </is>
      </c>
      <c r="F10" t="inlineStr">
        <is>
          <t>No</t>
        </is>
      </c>
      <c r="G10" t="inlineStr">
        <is>
          <t>1</t>
        </is>
      </c>
      <c r="H10" t="inlineStr">
        <is>
          <t>No</t>
        </is>
      </c>
      <c r="I10" t="inlineStr">
        <is>
          <t>No</t>
        </is>
      </c>
      <c r="J10" t="inlineStr">
        <is>
          <t>1</t>
        </is>
      </c>
      <c r="L10" t="inlineStr">
        <is>
          <t>New York : Oxford University Press, c1987.</t>
        </is>
      </c>
      <c r="M10" t="inlineStr">
        <is>
          <t>1987</t>
        </is>
      </c>
      <c r="O10" t="inlineStr">
        <is>
          <t>eng</t>
        </is>
      </c>
      <c r="P10" t="inlineStr">
        <is>
          <t>xxu</t>
        </is>
      </c>
      <c r="R10" t="inlineStr">
        <is>
          <t xml:space="preserve">QU </t>
        </is>
      </c>
      <c r="S10" t="n">
        <v>6</v>
      </c>
      <c r="T10" t="n">
        <v>6</v>
      </c>
      <c r="U10" t="inlineStr">
        <is>
          <t>1997-10-14</t>
        </is>
      </c>
      <c r="V10" t="inlineStr">
        <is>
          <t>1997-10-14</t>
        </is>
      </c>
      <c r="W10" t="inlineStr">
        <is>
          <t>1988-08-30</t>
        </is>
      </c>
      <c r="X10" t="inlineStr">
        <is>
          <t>1988-08-30</t>
        </is>
      </c>
      <c r="Y10" t="n">
        <v>146</v>
      </c>
      <c r="Z10" t="n">
        <v>95</v>
      </c>
      <c r="AA10" t="n">
        <v>1050</v>
      </c>
      <c r="AB10" t="n">
        <v>1</v>
      </c>
      <c r="AC10" t="n">
        <v>19</v>
      </c>
      <c r="AD10" t="n">
        <v>3</v>
      </c>
      <c r="AE10" t="n">
        <v>40</v>
      </c>
      <c r="AF10" t="n">
        <v>0</v>
      </c>
      <c r="AG10" t="n">
        <v>11</v>
      </c>
      <c r="AH10" t="n">
        <v>0</v>
      </c>
      <c r="AI10" t="n">
        <v>6</v>
      </c>
      <c r="AJ10" t="n">
        <v>3</v>
      </c>
      <c r="AK10" t="n">
        <v>12</v>
      </c>
      <c r="AL10" t="n">
        <v>0</v>
      </c>
      <c r="AM10" t="n">
        <v>15</v>
      </c>
      <c r="AN10" t="n">
        <v>0</v>
      </c>
      <c r="AO10" t="n">
        <v>1</v>
      </c>
      <c r="AP10" t="inlineStr">
        <is>
          <t>No</t>
        </is>
      </c>
      <c r="AQ10" t="inlineStr">
        <is>
          <t>Yes</t>
        </is>
      </c>
      <c r="AR10">
        <f>HYPERLINK("http://catalog.hathitrust.org/Record/000869566","HathiTrust Record")</f>
        <v/>
      </c>
      <c r="AS10">
        <f>HYPERLINK("https://creighton-primo.hosted.exlibrisgroup.com/primo-explore/search?tab=default_tab&amp;search_scope=EVERYTHING&amp;vid=01CRU&amp;lang=en_US&amp;offset=0&amp;query=any,contains,991001423119702656","Catalog Record")</f>
        <v/>
      </c>
      <c r="AT10">
        <f>HYPERLINK("http://www.worldcat.org/oclc/14413523","WorldCat Record")</f>
        <v/>
      </c>
      <c r="AU10" t="inlineStr">
        <is>
          <t>866295860:eng</t>
        </is>
      </c>
      <c r="AV10" t="inlineStr">
        <is>
          <t>14413523</t>
        </is>
      </c>
      <c r="AW10" t="inlineStr">
        <is>
          <t>991001423119702656</t>
        </is>
      </c>
      <c r="AX10" t="inlineStr">
        <is>
          <t>991001423119702656</t>
        </is>
      </c>
      <c r="AY10" t="inlineStr">
        <is>
          <t>2264160460002656</t>
        </is>
      </c>
      <c r="AZ10" t="inlineStr">
        <is>
          <t>BOOK</t>
        </is>
      </c>
      <c r="BB10" t="inlineStr">
        <is>
          <t>9780195039214</t>
        </is>
      </c>
      <c r="BC10" t="inlineStr">
        <is>
          <t>30001001183039</t>
        </is>
      </c>
      <c r="BD10" t="inlineStr">
        <is>
          <t>893821201</t>
        </is>
      </c>
    </row>
    <row r="11">
      <c r="A11" t="inlineStr">
        <is>
          <t>No</t>
        </is>
      </c>
      <c r="B11" t="inlineStr">
        <is>
          <t>QU 4 C686b 1988</t>
        </is>
      </c>
      <c r="C11" t="inlineStr">
        <is>
          <t>0                      QU 0004000C  686b        1988</t>
        </is>
      </c>
      <c r="D11" t="inlineStr">
        <is>
          <t>Biochemistry and oral biology / A.S. Cole, J.E. Eastoe ; with contributions by John McGivan, M.L. Hayes, A.C. Smillie.</t>
        </is>
      </c>
      <c r="F11" t="inlineStr">
        <is>
          <t>No</t>
        </is>
      </c>
      <c r="G11" t="inlineStr">
        <is>
          <t>1</t>
        </is>
      </c>
      <c r="H11" t="inlineStr">
        <is>
          <t>No</t>
        </is>
      </c>
      <c r="I11" t="inlineStr">
        <is>
          <t>No</t>
        </is>
      </c>
      <c r="J11" t="inlineStr">
        <is>
          <t>0</t>
        </is>
      </c>
      <c r="K11" t="inlineStr">
        <is>
          <t>Cole, Anne S.</t>
        </is>
      </c>
      <c r="L11" t="inlineStr">
        <is>
          <t>London ; Boston : Wright, c1988.</t>
        </is>
      </c>
      <c r="M11" t="inlineStr">
        <is>
          <t>1988</t>
        </is>
      </c>
      <c r="N11" t="inlineStr">
        <is>
          <t>2nd ed.</t>
        </is>
      </c>
      <c r="O11" t="inlineStr">
        <is>
          <t>eng</t>
        </is>
      </c>
      <c r="P11" t="inlineStr">
        <is>
          <t>enk</t>
        </is>
      </c>
      <c r="R11" t="inlineStr">
        <is>
          <t xml:space="preserve">QU </t>
        </is>
      </c>
      <c r="S11" t="n">
        <v>52</v>
      </c>
      <c r="T11" t="n">
        <v>52</v>
      </c>
      <c r="U11" t="inlineStr">
        <is>
          <t>1992-12-11</t>
        </is>
      </c>
      <c r="V11" t="inlineStr">
        <is>
          <t>1992-12-11</t>
        </is>
      </c>
      <c r="W11" t="inlineStr">
        <is>
          <t>1990-01-30</t>
        </is>
      </c>
      <c r="X11" t="inlineStr">
        <is>
          <t>1990-01-30</t>
        </is>
      </c>
      <c r="Y11" t="n">
        <v>132</v>
      </c>
      <c r="Z11" t="n">
        <v>55</v>
      </c>
      <c r="AA11" t="n">
        <v>126</v>
      </c>
      <c r="AB11" t="n">
        <v>1</v>
      </c>
      <c r="AC11" t="n">
        <v>2</v>
      </c>
      <c r="AD11" t="n">
        <v>1</v>
      </c>
      <c r="AE11" t="n">
        <v>5</v>
      </c>
      <c r="AF11" t="n">
        <v>0</v>
      </c>
      <c r="AG11" t="n">
        <v>1</v>
      </c>
      <c r="AH11" t="n">
        <v>1</v>
      </c>
      <c r="AI11" t="n">
        <v>2</v>
      </c>
      <c r="AJ11" t="n">
        <v>1</v>
      </c>
      <c r="AK11" t="n">
        <v>2</v>
      </c>
      <c r="AL11" t="n">
        <v>0</v>
      </c>
      <c r="AM11" t="n">
        <v>1</v>
      </c>
      <c r="AN11" t="n">
        <v>0</v>
      </c>
      <c r="AO11" t="n">
        <v>0</v>
      </c>
      <c r="AP11" t="inlineStr">
        <is>
          <t>No</t>
        </is>
      </c>
      <c r="AQ11" t="inlineStr">
        <is>
          <t>Yes</t>
        </is>
      </c>
      <c r="AR11">
        <f>HYPERLINK("http://catalog.hathitrust.org/Record/001097654","HathiTrust Record")</f>
        <v/>
      </c>
      <c r="AS11">
        <f>HYPERLINK("https://creighton-primo.hosted.exlibrisgroup.com/primo-explore/search?tab=default_tab&amp;search_scope=EVERYTHING&amp;vid=01CRU&amp;lang=en_US&amp;offset=0&amp;query=any,contains,991001445669702656","Catalog Record")</f>
        <v/>
      </c>
      <c r="AT11">
        <f>HYPERLINK("http://www.worldcat.org/oclc/17953974","WorldCat Record")</f>
        <v/>
      </c>
      <c r="AU11" t="inlineStr">
        <is>
          <t>10562526:eng</t>
        </is>
      </c>
      <c r="AV11" t="inlineStr">
        <is>
          <t>17953974</t>
        </is>
      </c>
      <c r="AW11" t="inlineStr">
        <is>
          <t>991001445669702656</t>
        </is>
      </c>
      <c r="AX11" t="inlineStr">
        <is>
          <t>991001445669702656</t>
        </is>
      </c>
      <c r="AY11" t="inlineStr">
        <is>
          <t>2259721720002656</t>
        </is>
      </c>
      <c r="AZ11" t="inlineStr">
        <is>
          <t>BOOK</t>
        </is>
      </c>
      <c r="BB11" t="inlineStr">
        <is>
          <t>9780723608349</t>
        </is>
      </c>
      <c r="BC11" t="inlineStr">
        <is>
          <t>30001001880436</t>
        </is>
      </c>
      <c r="BD11" t="inlineStr">
        <is>
          <t>893451213</t>
        </is>
      </c>
    </row>
    <row r="12">
      <c r="A12" t="inlineStr">
        <is>
          <t>No</t>
        </is>
      </c>
      <c r="B12" t="inlineStr">
        <is>
          <t>QU 4 C753o 1976</t>
        </is>
      </c>
      <c r="C12" t="inlineStr">
        <is>
          <t>0                      QU 0004000C  753o        1976</t>
        </is>
      </c>
      <c r="D12" t="inlineStr">
        <is>
          <t>Outlines of biochemistry / Eric E. Conn and P. K. Stumpf.</t>
        </is>
      </c>
      <c r="F12" t="inlineStr">
        <is>
          <t>No</t>
        </is>
      </c>
      <c r="G12" t="inlineStr">
        <is>
          <t>1</t>
        </is>
      </c>
      <c r="H12" t="inlineStr">
        <is>
          <t>No</t>
        </is>
      </c>
      <c r="I12" t="inlineStr">
        <is>
          <t>No</t>
        </is>
      </c>
      <c r="J12" t="inlineStr">
        <is>
          <t>0</t>
        </is>
      </c>
      <c r="K12" t="inlineStr">
        <is>
          <t>Conn, Eric E.</t>
        </is>
      </c>
      <c r="L12" t="inlineStr">
        <is>
          <t>New York : Wiley, c1976.</t>
        </is>
      </c>
      <c r="M12" t="inlineStr">
        <is>
          <t>1976</t>
        </is>
      </c>
      <c r="N12" t="inlineStr">
        <is>
          <t>4th ed.</t>
        </is>
      </c>
      <c r="O12" t="inlineStr">
        <is>
          <t>eng</t>
        </is>
      </c>
      <c r="P12" t="inlineStr">
        <is>
          <t>nyu</t>
        </is>
      </c>
      <c r="R12" t="inlineStr">
        <is>
          <t xml:space="preserve">QU </t>
        </is>
      </c>
      <c r="S12" t="n">
        <v>14</v>
      </c>
      <c r="T12" t="n">
        <v>14</v>
      </c>
      <c r="U12" t="inlineStr">
        <is>
          <t>1997-12-19</t>
        </is>
      </c>
      <c r="V12" t="inlineStr">
        <is>
          <t>1997-12-19</t>
        </is>
      </c>
      <c r="W12" t="inlineStr">
        <is>
          <t>1987-09-27</t>
        </is>
      </c>
      <c r="X12" t="inlineStr">
        <is>
          <t>1987-09-27</t>
        </is>
      </c>
      <c r="Y12" t="n">
        <v>415</v>
      </c>
      <c r="Z12" t="n">
        <v>230</v>
      </c>
      <c r="AA12" t="n">
        <v>712</v>
      </c>
      <c r="AB12" t="n">
        <v>1</v>
      </c>
      <c r="AC12" t="n">
        <v>5</v>
      </c>
      <c r="AD12" t="n">
        <v>10</v>
      </c>
      <c r="AE12" t="n">
        <v>25</v>
      </c>
      <c r="AF12" t="n">
        <v>3</v>
      </c>
      <c r="AG12" t="n">
        <v>9</v>
      </c>
      <c r="AH12" t="n">
        <v>2</v>
      </c>
      <c r="AI12" t="n">
        <v>5</v>
      </c>
      <c r="AJ12" t="n">
        <v>7</v>
      </c>
      <c r="AK12" t="n">
        <v>13</v>
      </c>
      <c r="AL12" t="n">
        <v>0</v>
      </c>
      <c r="AM12" t="n">
        <v>3</v>
      </c>
      <c r="AN12" t="n">
        <v>0</v>
      </c>
      <c r="AO12" t="n">
        <v>0</v>
      </c>
      <c r="AP12" t="inlineStr">
        <is>
          <t>No</t>
        </is>
      </c>
      <c r="AQ12" t="inlineStr">
        <is>
          <t>Yes</t>
        </is>
      </c>
      <c r="AR12">
        <f>HYPERLINK("http://catalog.hathitrust.org/Record/000695166","HathiTrust Record")</f>
        <v/>
      </c>
      <c r="AS12">
        <f>HYPERLINK("https://creighton-primo.hosted.exlibrisgroup.com/primo-explore/search?tab=default_tab&amp;search_scope=EVERYTHING&amp;vid=01CRU&amp;lang=en_US&amp;offset=0&amp;query=any,contains,991000758549702656","Catalog Record")</f>
        <v/>
      </c>
      <c r="AT12">
        <f>HYPERLINK("http://www.worldcat.org/oclc/1859736","WorldCat Record")</f>
        <v/>
      </c>
      <c r="AU12" t="inlineStr">
        <is>
          <t>1306986:eng</t>
        </is>
      </c>
      <c r="AV12" t="inlineStr">
        <is>
          <t>1859736</t>
        </is>
      </c>
      <c r="AW12" t="inlineStr">
        <is>
          <t>991000758549702656</t>
        </is>
      </c>
      <c r="AX12" t="inlineStr">
        <is>
          <t>991000758549702656</t>
        </is>
      </c>
      <c r="AY12" t="inlineStr">
        <is>
          <t>2266527480002656</t>
        </is>
      </c>
      <c r="AZ12" t="inlineStr">
        <is>
          <t>BOOK</t>
        </is>
      </c>
      <c r="BB12" t="inlineStr">
        <is>
          <t>9780471168430</t>
        </is>
      </c>
      <c r="BC12" t="inlineStr">
        <is>
          <t>30001000054777</t>
        </is>
      </c>
      <c r="BD12" t="inlineStr">
        <is>
          <t>893731168</t>
        </is>
      </c>
    </row>
    <row r="13">
      <c r="A13" t="inlineStr">
        <is>
          <t>No</t>
        </is>
      </c>
      <c r="B13" t="inlineStr">
        <is>
          <t>QU 4 DE997VG v.5 1978</t>
        </is>
      </c>
      <c r="C13" t="inlineStr">
        <is>
          <t>0                      QU 0004000DE 997VG                                                   v.5 1978</t>
        </is>
      </c>
      <c r="D13" t="inlineStr">
        <is>
          <t>Cytochrome oxidase : proceedings of the Japanese-American Seminar on Cytochrome Oxidase held in Osaka, Japan on August 29-September 2, 1978 / edited by Tsoo E. King ... [et al.].</t>
        </is>
      </c>
      <c r="E13" t="inlineStr">
        <is>
          <t>V.5 1978 | V. 5</t>
        </is>
      </c>
      <c r="F13" t="inlineStr">
        <is>
          <t>No</t>
        </is>
      </c>
      <c r="G13" t="inlineStr">
        <is>
          <t>1</t>
        </is>
      </c>
      <c r="H13" t="inlineStr">
        <is>
          <t>No</t>
        </is>
      </c>
      <c r="I13" t="inlineStr">
        <is>
          <t>No</t>
        </is>
      </c>
      <c r="J13" t="inlineStr">
        <is>
          <t>0</t>
        </is>
      </c>
      <c r="K13" t="inlineStr">
        <is>
          <t>Japanese-American Seminar on Cytochrome Oxidase (1978 : Osaka, Japan)</t>
        </is>
      </c>
      <c r="L13" t="inlineStr">
        <is>
          <t>Amsterdam ; New York : Elsevier/North Holland Biomedical Press ; New York : sole distributors for the U.S.A. and Canada, Elsevier North-Holland, c1979.</t>
        </is>
      </c>
      <c r="M13" t="inlineStr">
        <is>
          <t>1979</t>
        </is>
      </c>
      <c r="O13" t="inlineStr">
        <is>
          <t>eng</t>
        </is>
      </c>
      <c r="P13" t="inlineStr">
        <is>
          <t xml:space="preserve">ne </t>
        </is>
      </c>
      <c r="Q13" t="inlineStr">
        <is>
          <t>Developments in biochemistry, 0165-1714 ; v. 5</t>
        </is>
      </c>
      <c r="R13" t="inlineStr">
        <is>
          <t xml:space="preserve">QU </t>
        </is>
      </c>
      <c r="S13" t="n">
        <v>4</v>
      </c>
      <c r="T13" t="n">
        <v>4</v>
      </c>
      <c r="U13" t="inlineStr">
        <is>
          <t>1997-03-24</t>
        </is>
      </c>
      <c r="V13" t="inlineStr">
        <is>
          <t>1997-03-24</t>
        </is>
      </c>
      <c r="W13" t="inlineStr">
        <is>
          <t>1988-01-23</t>
        </is>
      </c>
      <c r="X13" t="inlineStr">
        <is>
          <t>1988-01-23</t>
        </is>
      </c>
      <c r="Y13" t="n">
        <v>151</v>
      </c>
      <c r="Z13" t="n">
        <v>100</v>
      </c>
      <c r="AA13" t="n">
        <v>102</v>
      </c>
      <c r="AB13" t="n">
        <v>2</v>
      </c>
      <c r="AC13" t="n">
        <v>2</v>
      </c>
      <c r="AD13" t="n">
        <v>2</v>
      </c>
      <c r="AE13" t="n">
        <v>2</v>
      </c>
      <c r="AF13" t="n">
        <v>0</v>
      </c>
      <c r="AG13" t="n">
        <v>0</v>
      </c>
      <c r="AH13" t="n">
        <v>1</v>
      </c>
      <c r="AI13" t="n">
        <v>1</v>
      </c>
      <c r="AJ13" t="n">
        <v>1</v>
      </c>
      <c r="AK13" t="n">
        <v>1</v>
      </c>
      <c r="AL13" t="n">
        <v>1</v>
      </c>
      <c r="AM13" t="n">
        <v>1</v>
      </c>
      <c r="AN13" t="n">
        <v>0</v>
      </c>
      <c r="AO13" t="n">
        <v>0</v>
      </c>
      <c r="AP13" t="inlineStr">
        <is>
          <t>No</t>
        </is>
      </c>
      <c r="AQ13" t="inlineStr">
        <is>
          <t>Yes</t>
        </is>
      </c>
      <c r="AR13">
        <f>HYPERLINK("http://catalog.hathitrust.org/Record/000138780","HathiTrust Record")</f>
        <v/>
      </c>
      <c r="AS13">
        <f>HYPERLINK("https://creighton-primo.hosted.exlibrisgroup.com/primo-explore/search?tab=default_tab&amp;search_scope=EVERYTHING&amp;vid=01CRU&amp;lang=en_US&amp;offset=0&amp;query=any,contains,991000861979702656","Catalog Record")</f>
        <v/>
      </c>
      <c r="AT13">
        <f>HYPERLINK("http://www.worldcat.org/oclc/4593508","WorldCat Record")</f>
        <v/>
      </c>
      <c r="AU13" t="inlineStr">
        <is>
          <t>899616466:eng</t>
        </is>
      </c>
      <c r="AV13" t="inlineStr">
        <is>
          <t>4593508</t>
        </is>
      </c>
      <c r="AW13" t="inlineStr">
        <is>
          <t>991000861979702656</t>
        </is>
      </c>
      <c r="AX13" t="inlineStr">
        <is>
          <t>991000861979702656</t>
        </is>
      </c>
      <c r="AY13" t="inlineStr">
        <is>
          <t>2271322690002656</t>
        </is>
      </c>
      <c r="AZ13" t="inlineStr">
        <is>
          <t>BOOK</t>
        </is>
      </c>
      <c r="BB13" t="inlineStr">
        <is>
          <t>9780444801005</t>
        </is>
      </c>
      <c r="BC13" t="inlineStr">
        <is>
          <t>30001000139503</t>
        </is>
      </c>
      <c r="BD13" t="inlineStr">
        <is>
          <t>893831586</t>
        </is>
      </c>
    </row>
    <row r="14">
      <c r="A14" t="inlineStr">
        <is>
          <t>No</t>
        </is>
      </c>
      <c r="B14" t="inlineStr">
        <is>
          <t>QU 4 F639c</t>
        </is>
      </c>
      <c r="C14" t="inlineStr">
        <is>
          <t>0                      QU 0004000F  639c</t>
        </is>
      </c>
      <c r="D14" t="inlineStr">
        <is>
          <t>Metabolism of cyclic compounds : metabolism of isoprenoids, steroid hormones, bile acids, flavonoids, tannins, lignins; secondary metabolites of fungi; alkaloids, and other nitrogenous secondary metabolites / edited by Marcel Florkin and Elmer H. Stotz.</t>
        </is>
      </c>
      <c r="E14" t="inlineStr">
        <is>
          <t>V.20</t>
        </is>
      </c>
      <c r="F14" t="inlineStr">
        <is>
          <t>No</t>
        </is>
      </c>
      <c r="G14" t="inlineStr">
        <is>
          <t>1</t>
        </is>
      </c>
      <c r="H14" t="inlineStr">
        <is>
          <t>No</t>
        </is>
      </c>
      <c r="I14" t="inlineStr">
        <is>
          <t>No</t>
        </is>
      </c>
      <c r="J14" t="inlineStr">
        <is>
          <t>0</t>
        </is>
      </c>
      <c r="L14" t="inlineStr">
        <is>
          <t>Amsterdam ; New York : Elsevier, 1968.</t>
        </is>
      </c>
      <c r="M14" t="inlineStr">
        <is>
          <t>1968</t>
        </is>
      </c>
      <c r="O14" t="inlineStr">
        <is>
          <t>eng</t>
        </is>
      </c>
      <c r="P14" t="inlineStr">
        <is>
          <t xml:space="preserve">ne </t>
        </is>
      </c>
      <c r="Q14" t="inlineStr">
        <is>
          <t>Comprehensive biochemistry ; 20. Section IV, Metabolism</t>
        </is>
      </c>
      <c r="R14" t="inlineStr">
        <is>
          <t xml:space="preserve">QU </t>
        </is>
      </c>
      <c r="S14" t="n">
        <v>1</v>
      </c>
      <c r="T14" t="n">
        <v>1</v>
      </c>
      <c r="U14" t="inlineStr">
        <is>
          <t>2002-11-14</t>
        </is>
      </c>
      <c r="V14" t="inlineStr">
        <is>
          <t>2002-11-14</t>
        </is>
      </c>
      <c r="W14" t="inlineStr">
        <is>
          <t>2002-04-15</t>
        </is>
      </c>
      <c r="X14" t="inlineStr">
        <is>
          <t>2002-04-15</t>
        </is>
      </c>
      <c r="Y14" t="n">
        <v>95</v>
      </c>
      <c r="Z14" t="n">
        <v>66</v>
      </c>
      <c r="AA14" t="n">
        <v>67</v>
      </c>
      <c r="AB14" t="n">
        <v>2</v>
      </c>
      <c r="AC14" t="n">
        <v>2</v>
      </c>
      <c r="AD14" t="n">
        <v>6</v>
      </c>
      <c r="AE14" t="n">
        <v>6</v>
      </c>
      <c r="AF14" t="n">
        <v>2</v>
      </c>
      <c r="AG14" t="n">
        <v>2</v>
      </c>
      <c r="AH14" t="n">
        <v>3</v>
      </c>
      <c r="AI14" t="n">
        <v>3</v>
      </c>
      <c r="AJ14" t="n">
        <v>5</v>
      </c>
      <c r="AK14" t="n">
        <v>5</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HYPERLINK("https://creighton-primo.hosted.exlibrisgroup.com/primo-explore/search?tab=default_tab&amp;search_scope=EVERYTHING&amp;vid=01CRU&amp;lang=en_US&amp;offset=0&amp;query=any,contains,991000307539702656","Catalog Record")</f>
        <v/>
      </c>
      <c r="AT14">
        <f>HYPERLINK("http://www.worldcat.org/oclc/2410119","WorldCat Record")</f>
        <v/>
      </c>
      <c r="AU14" t="inlineStr">
        <is>
          <t>3855542232:eng</t>
        </is>
      </c>
      <c r="AV14" t="inlineStr">
        <is>
          <t>2410119</t>
        </is>
      </c>
      <c r="AW14" t="inlineStr">
        <is>
          <t>991000307539702656</t>
        </is>
      </c>
      <c r="AX14" t="inlineStr">
        <is>
          <t>991000307539702656</t>
        </is>
      </c>
      <c r="AY14" t="inlineStr">
        <is>
          <t>2265971410002656</t>
        </is>
      </c>
      <c r="AZ14" t="inlineStr">
        <is>
          <t>BOOK</t>
        </is>
      </c>
      <c r="BC14" t="inlineStr">
        <is>
          <t>30001000139909</t>
        </is>
      </c>
      <c r="BD14" t="inlineStr">
        <is>
          <t>893644196</t>
        </is>
      </c>
    </row>
    <row r="15">
      <c r="A15" t="inlineStr">
        <is>
          <t>No</t>
        </is>
      </c>
      <c r="B15" t="inlineStr">
        <is>
          <t>QU 4 F853</t>
        </is>
      </c>
      <c r="C15" t="inlineStr">
        <is>
          <t>0                      QU 0004000F  853</t>
        </is>
      </c>
      <c r="D15" t="inlineStr">
        <is>
          <t>Free radicals in biology / edited by William A. Pryor.</t>
        </is>
      </c>
      <c r="E15" t="inlineStr">
        <is>
          <t>V. 1</t>
        </is>
      </c>
      <c r="F15" t="inlineStr">
        <is>
          <t>Yes</t>
        </is>
      </c>
      <c r="G15" t="inlineStr">
        <is>
          <t>1</t>
        </is>
      </c>
      <c r="H15" t="inlineStr">
        <is>
          <t>No</t>
        </is>
      </c>
      <c r="I15" t="inlineStr">
        <is>
          <t>No</t>
        </is>
      </c>
      <c r="J15" t="inlineStr">
        <is>
          <t>0</t>
        </is>
      </c>
      <c r="L15" t="inlineStr">
        <is>
          <t>New York : Academic Press, 1976.</t>
        </is>
      </c>
      <c r="M15" t="inlineStr">
        <is>
          <t>1976</t>
        </is>
      </c>
      <c r="O15" t="inlineStr">
        <is>
          <t>eng</t>
        </is>
      </c>
      <c r="P15" t="inlineStr">
        <is>
          <t>nyu</t>
        </is>
      </c>
      <c r="R15" t="inlineStr">
        <is>
          <t xml:space="preserve">QU </t>
        </is>
      </c>
      <c r="S15" t="n">
        <v>6</v>
      </c>
      <c r="T15" t="n">
        <v>10</v>
      </c>
      <c r="U15" t="inlineStr">
        <is>
          <t>1997-08-22</t>
        </is>
      </c>
      <c r="V15" t="inlineStr">
        <is>
          <t>1997-08-22</t>
        </is>
      </c>
      <c r="W15" t="inlineStr">
        <is>
          <t>1988-03-26</t>
        </is>
      </c>
      <c r="X15" t="inlineStr">
        <is>
          <t>1988-03-26</t>
        </is>
      </c>
      <c r="Y15" t="n">
        <v>435</v>
      </c>
      <c r="Z15" t="n">
        <v>340</v>
      </c>
      <c r="AA15" t="n">
        <v>369</v>
      </c>
      <c r="AB15" t="n">
        <v>5</v>
      </c>
      <c r="AC15" t="n">
        <v>5</v>
      </c>
      <c r="AD15" t="n">
        <v>15</v>
      </c>
      <c r="AE15" t="n">
        <v>17</v>
      </c>
      <c r="AF15" t="n">
        <v>4</v>
      </c>
      <c r="AG15" t="n">
        <v>5</v>
      </c>
      <c r="AH15" t="n">
        <v>3</v>
      </c>
      <c r="AI15" t="n">
        <v>4</v>
      </c>
      <c r="AJ15" t="n">
        <v>8</v>
      </c>
      <c r="AK15" t="n">
        <v>8</v>
      </c>
      <c r="AL15" t="n">
        <v>4</v>
      </c>
      <c r="AM15" t="n">
        <v>4</v>
      </c>
      <c r="AN15" t="n">
        <v>0</v>
      </c>
      <c r="AO15" t="n">
        <v>0</v>
      </c>
      <c r="AP15" t="inlineStr">
        <is>
          <t>No</t>
        </is>
      </c>
      <c r="AQ15" t="inlineStr">
        <is>
          <t>Yes</t>
        </is>
      </c>
      <c r="AR15">
        <f>HYPERLINK("http://catalog.hathitrust.org/Record/000193471","HathiTrust Record")</f>
        <v/>
      </c>
      <c r="AS15">
        <f>HYPERLINK("https://creighton-primo.hosted.exlibrisgroup.com/primo-explore/search?tab=default_tab&amp;search_scope=EVERYTHING&amp;vid=01CRU&amp;lang=en_US&amp;offset=0&amp;query=any,contains,991000852559702656","Catalog Record")</f>
        <v/>
      </c>
      <c r="AT15">
        <f>HYPERLINK("http://www.worldcat.org/oclc/1622078","WorldCat Record")</f>
        <v/>
      </c>
      <c r="AU15" t="inlineStr">
        <is>
          <t>3372259736:eng</t>
        </is>
      </c>
      <c r="AV15" t="inlineStr">
        <is>
          <t>1622078</t>
        </is>
      </c>
      <c r="AW15" t="inlineStr">
        <is>
          <t>991000852559702656</t>
        </is>
      </c>
      <c r="AX15" t="inlineStr">
        <is>
          <t>991000852559702656</t>
        </is>
      </c>
      <c r="AY15" t="inlineStr">
        <is>
          <t>2270659320002656</t>
        </is>
      </c>
      <c r="AZ15" t="inlineStr">
        <is>
          <t>BOOK</t>
        </is>
      </c>
      <c r="BB15" t="inlineStr">
        <is>
          <t>9780125665018</t>
        </is>
      </c>
      <c r="BC15" t="inlineStr">
        <is>
          <t>30001000134207</t>
        </is>
      </c>
      <c r="BD15" t="inlineStr">
        <is>
          <t>893815794</t>
        </is>
      </c>
    </row>
    <row r="16">
      <c r="A16" t="inlineStr">
        <is>
          <t>No</t>
        </is>
      </c>
      <c r="B16" t="inlineStr">
        <is>
          <t>QU 4 F853</t>
        </is>
      </c>
      <c r="C16" t="inlineStr">
        <is>
          <t>0                      QU 0004000F  853</t>
        </is>
      </c>
      <c r="D16" t="inlineStr">
        <is>
          <t>Free radicals in biology / edited by William A. Pryor.</t>
        </is>
      </c>
      <c r="E16" t="inlineStr">
        <is>
          <t>V. 2</t>
        </is>
      </c>
      <c r="F16" t="inlineStr">
        <is>
          <t>Yes</t>
        </is>
      </c>
      <c r="G16" t="inlineStr">
        <is>
          <t>1</t>
        </is>
      </c>
      <c r="H16" t="inlineStr">
        <is>
          <t>No</t>
        </is>
      </c>
      <c r="I16" t="inlineStr">
        <is>
          <t>No</t>
        </is>
      </c>
      <c r="J16" t="inlineStr">
        <is>
          <t>0</t>
        </is>
      </c>
      <c r="L16" t="inlineStr">
        <is>
          <t>New York : Academic Press, 1976.</t>
        </is>
      </c>
      <c r="M16" t="inlineStr">
        <is>
          <t>1976</t>
        </is>
      </c>
      <c r="O16" t="inlineStr">
        <is>
          <t>eng</t>
        </is>
      </c>
      <c r="P16" t="inlineStr">
        <is>
          <t>nyu</t>
        </is>
      </c>
      <c r="R16" t="inlineStr">
        <is>
          <t xml:space="preserve">QU </t>
        </is>
      </c>
      <c r="S16" t="n">
        <v>4</v>
      </c>
      <c r="T16" t="n">
        <v>10</v>
      </c>
      <c r="U16" t="inlineStr">
        <is>
          <t>1997-08-22</t>
        </is>
      </c>
      <c r="V16" t="inlineStr">
        <is>
          <t>1997-08-22</t>
        </is>
      </c>
      <c r="W16" t="inlineStr">
        <is>
          <t>1988-03-26</t>
        </is>
      </c>
      <c r="X16" t="inlineStr">
        <is>
          <t>1988-03-26</t>
        </is>
      </c>
      <c r="Y16" t="n">
        <v>435</v>
      </c>
      <c r="Z16" t="n">
        <v>340</v>
      </c>
      <c r="AA16" t="n">
        <v>369</v>
      </c>
      <c r="AB16" t="n">
        <v>5</v>
      </c>
      <c r="AC16" t="n">
        <v>5</v>
      </c>
      <c r="AD16" t="n">
        <v>15</v>
      </c>
      <c r="AE16" t="n">
        <v>17</v>
      </c>
      <c r="AF16" t="n">
        <v>4</v>
      </c>
      <c r="AG16" t="n">
        <v>5</v>
      </c>
      <c r="AH16" t="n">
        <v>3</v>
      </c>
      <c r="AI16" t="n">
        <v>4</v>
      </c>
      <c r="AJ16" t="n">
        <v>8</v>
      </c>
      <c r="AK16" t="n">
        <v>8</v>
      </c>
      <c r="AL16" t="n">
        <v>4</v>
      </c>
      <c r="AM16" t="n">
        <v>4</v>
      </c>
      <c r="AN16" t="n">
        <v>0</v>
      </c>
      <c r="AO16" t="n">
        <v>0</v>
      </c>
      <c r="AP16" t="inlineStr">
        <is>
          <t>No</t>
        </is>
      </c>
      <c r="AQ16" t="inlineStr">
        <is>
          <t>Yes</t>
        </is>
      </c>
      <c r="AR16">
        <f>HYPERLINK("http://catalog.hathitrust.org/Record/000193471","HathiTrust Record")</f>
        <v/>
      </c>
      <c r="AS16">
        <f>HYPERLINK("https://creighton-primo.hosted.exlibrisgroup.com/primo-explore/search?tab=default_tab&amp;search_scope=EVERYTHING&amp;vid=01CRU&amp;lang=en_US&amp;offset=0&amp;query=any,contains,991000852559702656","Catalog Record")</f>
        <v/>
      </c>
      <c r="AT16">
        <f>HYPERLINK("http://www.worldcat.org/oclc/1622078","WorldCat Record")</f>
        <v/>
      </c>
      <c r="AU16" t="inlineStr">
        <is>
          <t>3372259736:eng</t>
        </is>
      </c>
      <c r="AV16" t="inlineStr">
        <is>
          <t>1622078</t>
        </is>
      </c>
      <c r="AW16" t="inlineStr">
        <is>
          <t>991000852559702656</t>
        </is>
      </c>
      <c r="AX16" t="inlineStr">
        <is>
          <t>991000852559702656</t>
        </is>
      </c>
      <c r="AY16" t="inlineStr">
        <is>
          <t>2270659320002656</t>
        </is>
      </c>
      <c r="AZ16" t="inlineStr">
        <is>
          <t>BOOK</t>
        </is>
      </c>
      <c r="BB16" t="inlineStr">
        <is>
          <t>9780125665018</t>
        </is>
      </c>
      <c r="BC16" t="inlineStr">
        <is>
          <t>30001000134199</t>
        </is>
      </c>
      <c r="BD16" t="inlineStr">
        <is>
          <t>893815793</t>
        </is>
      </c>
    </row>
    <row r="17">
      <c r="A17" t="inlineStr">
        <is>
          <t>No</t>
        </is>
      </c>
      <c r="B17" t="inlineStr">
        <is>
          <t>QU 4 L524p 1982</t>
        </is>
      </c>
      <c r="C17" t="inlineStr">
        <is>
          <t>0                      QU 0004000L  524p        1982</t>
        </is>
      </c>
      <c r="D17" t="inlineStr">
        <is>
          <t>Principles of biochemistry / Albert L. Lehninger.</t>
        </is>
      </c>
      <c r="F17" t="inlineStr">
        <is>
          <t>No</t>
        </is>
      </c>
      <c r="G17" t="inlineStr">
        <is>
          <t>1</t>
        </is>
      </c>
      <c r="H17" t="inlineStr">
        <is>
          <t>No</t>
        </is>
      </c>
      <c r="I17" t="inlineStr">
        <is>
          <t>Yes</t>
        </is>
      </c>
      <c r="J17" t="inlineStr">
        <is>
          <t>0</t>
        </is>
      </c>
      <c r="K17" t="inlineStr">
        <is>
          <t>Lehninger, Albert L.</t>
        </is>
      </c>
      <c r="L17" t="inlineStr">
        <is>
          <t>New York, N.Y. : Worth Publishers, c1982.</t>
        </is>
      </c>
      <c r="M17" t="inlineStr">
        <is>
          <t>1982</t>
        </is>
      </c>
      <c r="O17" t="inlineStr">
        <is>
          <t>eng</t>
        </is>
      </c>
      <c r="P17" t="inlineStr">
        <is>
          <t>nyu</t>
        </is>
      </c>
      <c r="R17" t="inlineStr">
        <is>
          <t xml:space="preserve">QU </t>
        </is>
      </c>
      <c r="S17" t="n">
        <v>100</v>
      </c>
      <c r="T17" t="n">
        <v>100</v>
      </c>
      <c r="U17" t="inlineStr">
        <is>
          <t>2002-11-13</t>
        </is>
      </c>
      <c r="V17" t="inlineStr">
        <is>
          <t>2002-11-13</t>
        </is>
      </c>
      <c r="W17" t="inlineStr">
        <is>
          <t>1987-09-27</t>
        </is>
      </c>
      <c r="X17" t="inlineStr">
        <is>
          <t>1987-09-27</t>
        </is>
      </c>
      <c r="Y17" t="n">
        <v>613</v>
      </c>
      <c r="Z17" t="n">
        <v>410</v>
      </c>
      <c r="AA17" t="n">
        <v>663</v>
      </c>
      <c r="AB17" t="n">
        <v>2</v>
      </c>
      <c r="AC17" t="n">
        <v>3</v>
      </c>
      <c r="AD17" t="n">
        <v>16</v>
      </c>
      <c r="AE17" t="n">
        <v>18</v>
      </c>
      <c r="AF17" t="n">
        <v>5</v>
      </c>
      <c r="AG17" t="n">
        <v>5</v>
      </c>
      <c r="AH17" t="n">
        <v>4</v>
      </c>
      <c r="AI17" t="n">
        <v>4</v>
      </c>
      <c r="AJ17" t="n">
        <v>10</v>
      </c>
      <c r="AK17" t="n">
        <v>11</v>
      </c>
      <c r="AL17" t="n">
        <v>1</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HYPERLINK("https://creighton-primo.hosted.exlibrisgroup.com/primo-explore/search?tab=default_tab&amp;search_scope=EVERYTHING&amp;vid=01CRU&amp;lang=en_US&amp;offset=0&amp;query=any,contains,991000494769702656","Catalog Record")</f>
        <v/>
      </c>
      <c r="AT17">
        <f>HYPERLINK("http://www.worldcat.org/oclc/10628559","WorldCat Record")</f>
        <v/>
      </c>
      <c r="AU17" t="inlineStr">
        <is>
          <t>3901048175:eng</t>
        </is>
      </c>
      <c r="AV17" t="inlineStr">
        <is>
          <t>10628559</t>
        </is>
      </c>
      <c r="AW17" t="inlineStr">
        <is>
          <t>991000494769702656</t>
        </is>
      </c>
      <c r="AX17" t="inlineStr">
        <is>
          <t>991000494769702656</t>
        </is>
      </c>
      <c r="AY17" t="inlineStr">
        <is>
          <t>2261541830002656</t>
        </is>
      </c>
      <c r="AZ17" t="inlineStr">
        <is>
          <t>BOOK</t>
        </is>
      </c>
      <c r="BC17" t="inlineStr">
        <is>
          <t>30001000046328</t>
        </is>
      </c>
      <c r="BD17" t="inlineStr">
        <is>
          <t>893365756</t>
        </is>
      </c>
    </row>
    <row r="18">
      <c r="A18" t="inlineStr">
        <is>
          <t>No</t>
        </is>
      </c>
      <c r="B18" t="inlineStr">
        <is>
          <t>QU 4 M145b 1983</t>
        </is>
      </c>
      <c r="C18" t="inlineStr">
        <is>
          <t>0                      QU 0004000M  145b        1983</t>
        </is>
      </c>
      <c r="D18" t="inlineStr">
        <is>
          <t>Biochemistry, a functional approach / Robert W. McGilvery, in collaboration with Gerald W. Goldstein.</t>
        </is>
      </c>
      <c r="F18" t="inlineStr">
        <is>
          <t>No</t>
        </is>
      </c>
      <c r="G18" t="inlineStr">
        <is>
          <t>1</t>
        </is>
      </c>
      <c r="H18" t="inlineStr">
        <is>
          <t>No</t>
        </is>
      </c>
      <c r="I18" t="inlineStr">
        <is>
          <t>No</t>
        </is>
      </c>
      <c r="J18" t="inlineStr">
        <is>
          <t>0</t>
        </is>
      </c>
      <c r="K18" t="inlineStr">
        <is>
          <t>McGilvery, Robert W.</t>
        </is>
      </c>
      <c r="L18" t="inlineStr">
        <is>
          <t>Philadelphia : Saunders, c1983.</t>
        </is>
      </c>
      <c r="M18" t="inlineStr">
        <is>
          <t>1983</t>
        </is>
      </c>
      <c r="N18" t="inlineStr">
        <is>
          <t>3rd ed.</t>
        </is>
      </c>
      <c r="O18" t="inlineStr">
        <is>
          <t>eng</t>
        </is>
      </c>
      <c r="P18" t="inlineStr">
        <is>
          <t>xxu</t>
        </is>
      </c>
      <c r="R18" t="inlineStr">
        <is>
          <t xml:space="preserve">QU </t>
        </is>
      </c>
      <c r="S18" t="n">
        <v>22</v>
      </c>
      <c r="T18" t="n">
        <v>22</v>
      </c>
      <c r="U18" t="inlineStr">
        <is>
          <t>1997-10-25</t>
        </is>
      </c>
      <c r="V18" t="inlineStr">
        <is>
          <t>1997-10-25</t>
        </is>
      </c>
      <c r="W18" t="inlineStr">
        <is>
          <t>1988-01-26</t>
        </is>
      </c>
      <c r="X18" t="inlineStr">
        <is>
          <t>1988-01-26</t>
        </is>
      </c>
      <c r="Y18" t="n">
        <v>353</v>
      </c>
      <c r="Z18" t="n">
        <v>237</v>
      </c>
      <c r="AA18" t="n">
        <v>487</v>
      </c>
      <c r="AB18" t="n">
        <v>1</v>
      </c>
      <c r="AC18" t="n">
        <v>4</v>
      </c>
      <c r="AD18" t="n">
        <v>5</v>
      </c>
      <c r="AE18" t="n">
        <v>14</v>
      </c>
      <c r="AF18" t="n">
        <v>1</v>
      </c>
      <c r="AG18" t="n">
        <v>3</v>
      </c>
      <c r="AH18" t="n">
        <v>3</v>
      </c>
      <c r="AI18" t="n">
        <v>4</v>
      </c>
      <c r="AJ18" t="n">
        <v>3</v>
      </c>
      <c r="AK18" t="n">
        <v>8</v>
      </c>
      <c r="AL18" t="n">
        <v>0</v>
      </c>
      <c r="AM18" t="n">
        <v>3</v>
      </c>
      <c r="AN18" t="n">
        <v>0</v>
      </c>
      <c r="AO18" t="n">
        <v>0</v>
      </c>
      <c r="AP18" t="inlineStr">
        <is>
          <t>No</t>
        </is>
      </c>
      <c r="AQ18" t="inlineStr">
        <is>
          <t>Yes</t>
        </is>
      </c>
      <c r="AR18">
        <f>HYPERLINK("http://catalog.hathitrust.org/Record/000124013","HathiTrust Record")</f>
        <v/>
      </c>
      <c r="AS18">
        <f>HYPERLINK("https://creighton-primo.hosted.exlibrisgroup.com/primo-explore/search?tab=default_tab&amp;search_scope=EVERYTHING&amp;vid=01CRU&amp;lang=en_US&amp;offset=0&amp;query=any,contains,991000855039702656","Catalog Record")</f>
        <v/>
      </c>
      <c r="AT18">
        <f>HYPERLINK("http://www.worldcat.org/oclc/8865386","WorldCat Record")</f>
        <v/>
      </c>
      <c r="AU18" t="inlineStr">
        <is>
          <t>1285815:eng</t>
        </is>
      </c>
      <c r="AV18" t="inlineStr">
        <is>
          <t>8865386</t>
        </is>
      </c>
      <c r="AW18" t="inlineStr">
        <is>
          <t>991000855039702656</t>
        </is>
      </c>
      <c r="AX18" t="inlineStr">
        <is>
          <t>991000855039702656</t>
        </is>
      </c>
      <c r="AY18" t="inlineStr">
        <is>
          <t>2260843900002656</t>
        </is>
      </c>
      <c r="AZ18" t="inlineStr">
        <is>
          <t>BOOK</t>
        </is>
      </c>
      <c r="BB18" t="inlineStr">
        <is>
          <t>9780721659138</t>
        </is>
      </c>
      <c r="BC18" t="inlineStr">
        <is>
          <t>30001000134835</t>
        </is>
      </c>
      <c r="BD18" t="inlineStr">
        <is>
          <t>893740503</t>
        </is>
      </c>
    </row>
    <row r="19">
      <c r="A19" t="inlineStr">
        <is>
          <t>No</t>
        </is>
      </c>
      <c r="B19" t="inlineStr">
        <is>
          <t>QU 4 M154b 1996</t>
        </is>
      </c>
      <c r="C19" t="inlineStr">
        <is>
          <t>0                      QU 0004000M  154b        1996</t>
        </is>
      </c>
      <c r="D19" t="inlineStr">
        <is>
          <t>Biochemistry / Trudy McKee, James R. McKee.</t>
        </is>
      </c>
      <c r="F19" t="inlineStr">
        <is>
          <t>No</t>
        </is>
      </c>
      <c r="G19" t="inlineStr">
        <is>
          <t>1</t>
        </is>
      </c>
      <c r="H19" t="inlineStr">
        <is>
          <t>No</t>
        </is>
      </c>
      <c r="I19" t="inlineStr">
        <is>
          <t>No</t>
        </is>
      </c>
      <c r="J19" t="inlineStr">
        <is>
          <t>0</t>
        </is>
      </c>
      <c r="K19" t="inlineStr">
        <is>
          <t>McKee, Trudy.</t>
        </is>
      </c>
      <c r="L19" t="inlineStr">
        <is>
          <t>Dubuque, IA : Wm. C. Brown, c1996.</t>
        </is>
      </c>
      <c r="M19" t="inlineStr">
        <is>
          <t>1996</t>
        </is>
      </c>
      <c r="O19" t="inlineStr">
        <is>
          <t>eng</t>
        </is>
      </c>
      <c r="P19" t="inlineStr">
        <is>
          <t>iau</t>
        </is>
      </c>
      <c r="R19" t="inlineStr">
        <is>
          <t xml:space="preserve">QU </t>
        </is>
      </c>
      <c r="S19" t="n">
        <v>27</v>
      </c>
      <c r="T19" t="n">
        <v>27</v>
      </c>
      <c r="U19" t="inlineStr">
        <is>
          <t>2006-01-10</t>
        </is>
      </c>
      <c r="V19" t="inlineStr">
        <is>
          <t>2006-01-10</t>
        </is>
      </c>
      <c r="W19" t="inlineStr">
        <is>
          <t>1997-01-17</t>
        </is>
      </c>
      <c r="X19" t="inlineStr">
        <is>
          <t>1997-01-17</t>
        </is>
      </c>
      <c r="Y19" t="n">
        <v>74</v>
      </c>
      <c r="Z19" t="n">
        <v>37</v>
      </c>
      <c r="AA19" t="n">
        <v>96</v>
      </c>
      <c r="AB19" t="n">
        <v>1</v>
      </c>
      <c r="AC19" t="n">
        <v>1</v>
      </c>
      <c r="AD19" t="n">
        <v>0</v>
      </c>
      <c r="AE19" t="n">
        <v>0</v>
      </c>
      <c r="AF19" t="n">
        <v>0</v>
      </c>
      <c r="AG19" t="n">
        <v>0</v>
      </c>
      <c r="AH19" t="n">
        <v>0</v>
      </c>
      <c r="AI19" t="n">
        <v>0</v>
      </c>
      <c r="AJ19" t="n">
        <v>0</v>
      </c>
      <c r="AK19" t="n">
        <v>0</v>
      </c>
      <c r="AL19" t="n">
        <v>0</v>
      </c>
      <c r="AM19" t="n">
        <v>0</v>
      </c>
      <c r="AN19" t="n">
        <v>0</v>
      </c>
      <c r="AO19" t="n">
        <v>0</v>
      </c>
      <c r="AP19" t="inlineStr">
        <is>
          <t>No</t>
        </is>
      </c>
      <c r="AQ19" t="inlineStr">
        <is>
          <t>No</t>
        </is>
      </c>
      <c r="AS19">
        <f>HYPERLINK("https://creighton-primo.hosted.exlibrisgroup.com/primo-explore/search?tab=default_tab&amp;search_scope=EVERYTHING&amp;vid=01CRU&amp;lang=en_US&amp;offset=0&amp;query=any,contains,991001558409702656","Catalog Record")</f>
        <v/>
      </c>
      <c r="AT19">
        <f>HYPERLINK("http://www.worldcat.org/oclc/34371369","WorldCat Record")</f>
        <v/>
      </c>
      <c r="AU19" t="inlineStr">
        <is>
          <t>3768982863:eng</t>
        </is>
      </c>
      <c r="AV19" t="inlineStr">
        <is>
          <t>34371369</t>
        </is>
      </c>
      <c r="AW19" t="inlineStr">
        <is>
          <t>991001558409702656</t>
        </is>
      </c>
      <c r="AX19" t="inlineStr">
        <is>
          <t>991001558409702656</t>
        </is>
      </c>
      <c r="AY19" t="inlineStr">
        <is>
          <t>2271590630002656</t>
        </is>
      </c>
      <c r="AZ19" t="inlineStr">
        <is>
          <t>BOOK</t>
        </is>
      </c>
      <c r="BB19" t="inlineStr">
        <is>
          <t>9780697211590</t>
        </is>
      </c>
      <c r="BC19" t="inlineStr">
        <is>
          <t>30001003474055</t>
        </is>
      </c>
      <c r="BD19" t="inlineStr">
        <is>
          <t>893727765</t>
        </is>
      </c>
    </row>
    <row r="20">
      <c r="A20" t="inlineStr">
        <is>
          <t>No</t>
        </is>
      </c>
      <c r="B20" t="inlineStr">
        <is>
          <t>QU 4 M346b 1996</t>
        </is>
      </c>
      <c r="C20" t="inlineStr">
        <is>
          <t>0                      QU 0004000M  346b        1996</t>
        </is>
      </c>
      <c r="D20" t="inlineStr">
        <is>
          <t>Basic medical biochemistry : a clinical approach / Dawn B. Marks, Allan D. Marks, Colleen M. Smith.</t>
        </is>
      </c>
      <c r="F20" t="inlineStr">
        <is>
          <t>No</t>
        </is>
      </c>
      <c r="G20" t="inlineStr">
        <is>
          <t>1</t>
        </is>
      </c>
      <c r="H20" t="inlineStr">
        <is>
          <t>No</t>
        </is>
      </c>
      <c r="I20" t="inlineStr">
        <is>
          <t>No</t>
        </is>
      </c>
      <c r="J20" t="inlineStr">
        <is>
          <t>0</t>
        </is>
      </c>
      <c r="K20" t="inlineStr">
        <is>
          <t>Marks, Dawn B.</t>
        </is>
      </c>
      <c r="L20" t="inlineStr">
        <is>
          <t>Baltimore : Williams &amp; Wilkins, c1996.</t>
        </is>
      </c>
      <c r="M20" t="inlineStr">
        <is>
          <t>1996</t>
        </is>
      </c>
      <c r="O20" t="inlineStr">
        <is>
          <t>eng</t>
        </is>
      </c>
      <c r="P20" t="inlineStr">
        <is>
          <t>mdu</t>
        </is>
      </c>
      <c r="R20" t="inlineStr">
        <is>
          <t xml:space="preserve">QU </t>
        </is>
      </c>
      <c r="S20" t="n">
        <v>7</v>
      </c>
      <c r="T20" t="n">
        <v>7</v>
      </c>
      <c r="U20" t="inlineStr">
        <is>
          <t>2007-12-04</t>
        </is>
      </c>
      <c r="V20" t="inlineStr">
        <is>
          <t>2007-12-04</t>
        </is>
      </c>
      <c r="W20" t="inlineStr">
        <is>
          <t>2002-07-26</t>
        </is>
      </c>
      <c r="X20" t="inlineStr">
        <is>
          <t>2002-07-26</t>
        </is>
      </c>
      <c r="Y20" t="n">
        <v>222</v>
      </c>
      <c r="Z20" t="n">
        <v>113</v>
      </c>
      <c r="AA20" t="n">
        <v>113</v>
      </c>
      <c r="AB20" t="n">
        <v>1</v>
      </c>
      <c r="AC20" t="n">
        <v>1</v>
      </c>
      <c r="AD20" t="n">
        <v>2</v>
      </c>
      <c r="AE20" t="n">
        <v>2</v>
      </c>
      <c r="AF20" t="n">
        <v>1</v>
      </c>
      <c r="AG20" t="n">
        <v>1</v>
      </c>
      <c r="AH20" t="n">
        <v>2</v>
      </c>
      <c r="AI20" t="n">
        <v>2</v>
      </c>
      <c r="AJ20" t="n">
        <v>0</v>
      </c>
      <c r="AK20" t="n">
        <v>0</v>
      </c>
      <c r="AL20" t="n">
        <v>0</v>
      </c>
      <c r="AM20" t="n">
        <v>0</v>
      </c>
      <c r="AN20" t="n">
        <v>0</v>
      </c>
      <c r="AO20" t="n">
        <v>0</v>
      </c>
      <c r="AP20" t="inlineStr">
        <is>
          <t>No</t>
        </is>
      </c>
      <c r="AQ20" t="inlineStr">
        <is>
          <t>No</t>
        </is>
      </c>
      <c r="AS20">
        <f>HYPERLINK("https://creighton-primo.hosted.exlibrisgroup.com/primo-explore/search?tab=default_tab&amp;search_scope=EVERYTHING&amp;vid=01CRU&amp;lang=en_US&amp;offset=0&amp;query=any,contains,991000326649702656","Catalog Record")</f>
        <v/>
      </c>
      <c r="AT20">
        <f>HYPERLINK("http://www.worldcat.org/oclc/33105353","WorldCat Record")</f>
        <v/>
      </c>
      <c r="AU20" t="inlineStr">
        <is>
          <t>3901762739:eng</t>
        </is>
      </c>
      <c r="AV20" t="inlineStr">
        <is>
          <t>33105353</t>
        </is>
      </c>
      <c r="AW20" t="inlineStr">
        <is>
          <t>991000326649702656</t>
        </is>
      </c>
      <c r="AX20" t="inlineStr">
        <is>
          <t>991000326649702656</t>
        </is>
      </c>
      <c r="AY20" t="inlineStr">
        <is>
          <t>2263230610002656</t>
        </is>
      </c>
      <c r="AZ20" t="inlineStr">
        <is>
          <t>BOOK</t>
        </is>
      </c>
      <c r="BB20" t="inlineStr">
        <is>
          <t>9780683055955</t>
        </is>
      </c>
      <c r="BC20" t="inlineStr">
        <is>
          <t>30001004377562</t>
        </is>
      </c>
      <c r="BD20" t="inlineStr">
        <is>
          <t>893737224</t>
        </is>
      </c>
    </row>
    <row r="21">
      <c r="A21" t="inlineStr">
        <is>
          <t>No</t>
        </is>
      </c>
      <c r="B21" t="inlineStr">
        <is>
          <t>QU4 M429b 2000</t>
        </is>
      </c>
      <c r="C21" t="inlineStr">
        <is>
          <t>0                      QU 0004000M  429b        2000</t>
        </is>
      </c>
      <c r="D21" t="inlineStr">
        <is>
          <t>Biochemistry / Christopher K. Mathews, K.E. van Holde, Kevin G. Ahern.</t>
        </is>
      </c>
      <c r="F21" t="inlineStr">
        <is>
          <t>No</t>
        </is>
      </c>
      <c r="G21" t="inlineStr">
        <is>
          <t>1</t>
        </is>
      </c>
      <c r="H21" t="inlineStr">
        <is>
          <t>No</t>
        </is>
      </c>
      <c r="I21" t="inlineStr">
        <is>
          <t>No</t>
        </is>
      </c>
      <c r="J21" t="inlineStr">
        <is>
          <t>0</t>
        </is>
      </c>
      <c r="K21" t="inlineStr">
        <is>
          <t>Mathews, Christopher K., 1937-</t>
        </is>
      </c>
      <c r="L21" t="inlineStr">
        <is>
          <t>San Francisco, Calif. : Benjamin Cummings, c2000.</t>
        </is>
      </c>
      <c r="M21" t="inlineStr">
        <is>
          <t>2000</t>
        </is>
      </c>
      <c r="N21" t="inlineStr">
        <is>
          <t>3rd ed.</t>
        </is>
      </c>
      <c r="O21" t="inlineStr">
        <is>
          <t>eng</t>
        </is>
      </c>
      <c r="P21" t="inlineStr">
        <is>
          <t>cau</t>
        </is>
      </c>
      <c r="R21" t="inlineStr">
        <is>
          <t xml:space="preserve">QU </t>
        </is>
      </c>
      <c r="S21" t="n">
        <v>13</v>
      </c>
      <c r="T21" t="n">
        <v>13</v>
      </c>
      <c r="U21" t="inlineStr">
        <is>
          <t>2010-10-28</t>
        </is>
      </c>
      <c r="V21" t="inlineStr">
        <is>
          <t>2010-10-28</t>
        </is>
      </c>
      <c r="W21" t="inlineStr">
        <is>
          <t>2002-09-25</t>
        </is>
      </c>
      <c r="X21" t="inlineStr">
        <is>
          <t>2002-09-25</t>
        </is>
      </c>
      <c r="Y21" t="n">
        <v>358</v>
      </c>
      <c r="Z21" t="n">
        <v>177</v>
      </c>
      <c r="AA21" t="n">
        <v>463</v>
      </c>
      <c r="AB21" t="n">
        <v>1</v>
      </c>
      <c r="AC21" t="n">
        <v>3</v>
      </c>
      <c r="AD21" t="n">
        <v>4</v>
      </c>
      <c r="AE21" t="n">
        <v>19</v>
      </c>
      <c r="AF21" t="n">
        <v>1</v>
      </c>
      <c r="AG21" t="n">
        <v>5</v>
      </c>
      <c r="AH21" t="n">
        <v>1</v>
      </c>
      <c r="AI21" t="n">
        <v>5</v>
      </c>
      <c r="AJ21" t="n">
        <v>4</v>
      </c>
      <c r="AK21" t="n">
        <v>11</v>
      </c>
      <c r="AL21" t="n">
        <v>0</v>
      </c>
      <c r="AM21" t="n">
        <v>2</v>
      </c>
      <c r="AN21" t="n">
        <v>0</v>
      </c>
      <c r="AO21" t="n">
        <v>0</v>
      </c>
      <c r="AP21" t="inlineStr">
        <is>
          <t>No</t>
        </is>
      </c>
      <c r="AQ21" t="inlineStr">
        <is>
          <t>Yes</t>
        </is>
      </c>
      <c r="AR21">
        <f>HYPERLINK("http://catalog.hathitrust.org/Record/102014941","HathiTrust Record")</f>
        <v/>
      </c>
      <c r="AS21">
        <f>HYPERLINK("https://creighton-primo.hosted.exlibrisgroup.com/primo-explore/search?tab=default_tab&amp;search_scope=EVERYTHING&amp;vid=01CRU&amp;lang=en_US&amp;offset=0&amp;query=any,contains,991000329579702656","Catalog Record")</f>
        <v/>
      </c>
      <c r="AT21">
        <f>HYPERLINK("http://www.worldcat.org/oclc/42290721","WorldCat Record")</f>
        <v/>
      </c>
      <c r="AU21" t="inlineStr">
        <is>
          <t>7371584449:eng</t>
        </is>
      </c>
      <c r="AV21" t="inlineStr">
        <is>
          <t>42290721</t>
        </is>
      </c>
      <c r="AW21" t="inlineStr">
        <is>
          <t>991000329579702656</t>
        </is>
      </c>
      <c r="AX21" t="inlineStr">
        <is>
          <t>991000329579702656</t>
        </is>
      </c>
      <c r="AY21" t="inlineStr">
        <is>
          <t>2259554760002656</t>
        </is>
      </c>
      <c r="AZ21" t="inlineStr">
        <is>
          <t>BOOK</t>
        </is>
      </c>
      <c r="BB21" t="inlineStr">
        <is>
          <t>9780805330663</t>
        </is>
      </c>
      <c r="BC21" t="inlineStr">
        <is>
          <t>30001004441251</t>
        </is>
      </c>
      <c r="BD21" t="inlineStr">
        <is>
          <t>893269357</t>
        </is>
      </c>
    </row>
    <row r="22">
      <c r="A22" t="inlineStr">
        <is>
          <t>No</t>
        </is>
      </c>
      <c r="B22" t="inlineStr">
        <is>
          <t>QU 4 M788b 1996</t>
        </is>
      </c>
      <c r="C22" t="inlineStr">
        <is>
          <t>0                      QU 0004000M  788b        1996</t>
        </is>
      </c>
      <c r="D22" t="inlineStr">
        <is>
          <t>Biochemistry : a case-oriented approach / Rex Montgomery, Thomas W. Conway, Arthur A. Spector, David Chappell.</t>
        </is>
      </c>
      <c r="F22" t="inlineStr">
        <is>
          <t>No</t>
        </is>
      </c>
      <c r="G22" t="inlineStr">
        <is>
          <t>1</t>
        </is>
      </c>
      <c r="H22" t="inlineStr">
        <is>
          <t>No</t>
        </is>
      </c>
      <c r="I22" t="inlineStr">
        <is>
          <t>No</t>
        </is>
      </c>
      <c r="J22" t="inlineStr">
        <is>
          <t>0</t>
        </is>
      </c>
      <c r="K22" t="inlineStr">
        <is>
          <t>Montgomery, Rex.</t>
        </is>
      </c>
      <c r="L22" t="inlineStr">
        <is>
          <t>St. Louis : Mosby, c1996.</t>
        </is>
      </c>
      <c r="M22" t="inlineStr">
        <is>
          <t>1996</t>
        </is>
      </c>
      <c r="N22" t="inlineStr">
        <is>
          <t>6th ed.</t>
        </is>
      </c>
      <c r="O22" t="inlineStr">
        <is>
          <t>eng</t>
        </is>
      </c>
      <c r="P22" t="inlineStr">
        <is>
          <t>mou</t>
        </is>
      </c>
      <c r="R22" t="inlineStr">
        <is>
          <t xml:space="preserve">QU </t>
        </is>
      </c>
      <c r="S22" t="n">
        <v>87</v>
      </c>
      <c r="T22" t="n">
        <v>87</v>
      </c>
      <c r="U22" t="inlineStr">
        <is>
          <t>2009-09-09</t>
        </is>
      </c>
      <c r="V22" t="inlineStr">
        <is>
          <t>2009-09-09</t>
        </is>
      </c>
      <c r="W22" t="inlineStr">
        <is>
          <t>1996-09-03</t>
        </is>
      </c>
      <c r="X22" t="inlineStr">
        <is>
          <t>1996-09-03</t>
        </is>
      </c>
      <c r="Y22" t="n">
        <v>254</v>
      </c>
      <c r="Z22" t="n">
        <v>144</v>
      </c>
      <c r="AA22" t="n">
        <v>537</v>
      </c>
      <c r="AB22" t="n">
        <v>3</v>
      </c>
      <c r="AC22" t="n">
        <v>5</v>
      </c>
      <c r="AD22" t="n">
        <v>6</v>
      </c>
      <c r="AE22" t="n">
        <v>23</v>
      </c>
      <c r="AF22" t="n">
        <v>3</v>
      </c>
      <c r="AG22" t="n">
        <v>8</v>
      </c>
      <c r="AH22" t="n">
        <v>1</v>
      </c>
      <c r="AI22" t="n">
        <v>5</v>
      </c>
      <c r="AJ22" t="n">
        <v>2</v>
      </c>
      <c r="AK22" t="n">
        <v>13</v>
      </c>
      <c r="AL22" t="n">
        <v>2</v>
      </c>
      <c r="AM22" t="n">
        <v>4</v>
      </c>
      <c r="AN22" t="n">
        <v>0</v>
      </c>
      <c r="AO22" t="n">
        <v>0</v>
      </c>
      <c r="AP22" t="inlineStr">
        <is>
          <t>No</t>
        </is>
      </c>
      <c r="AQ22" t="inlineStr">
        <is>
          <t>Yes</t>
        </is>
      </c>
      <c r="AR22">
        <f>HYPERLINK("http://catalog.hathitrust.org/Record/003142186","HathiTrust Record")</f>
        <v/>
      </c>
      <c r="AS22">
        <f>HYPERLINK("https://creighton-primo.hosted.exlibrisgroup.com/primo-explore/search?tab=default_tab&amp;search_scope=EVERYTHING&amp;vid=01CRU&amp;lang=en_US&amp;offset=0&amp;query=any,contains,991000835389702656","Catalog Record")</f>
        <v/>
      </c>
      <c r="AT22">
        <f>HYPERLINK("http://www.worldcat.org/oclc/35267963","WorldCat Record")</f>
        <v/>
      </c>
      <c r="AU22" t="inlineStr">
        <is>
          <t>376054194:eng</t>
        </is>
      </c>
      <c r="AV22" t="inlineStr">
        <is>
          <t>35267963</t>
        </is>
      </c>
      <c r="AW22" t="inlineStr">
        <is>
          <t>991000835389702656</t>
        </is>
      </c>
      <c r="AX22" t="inlineStr">
        <is>
          <t>991000835389702656</t>
        </is>
      </c>
      <c r="AY22" t="inlineStr">
        <is>
          <t>2259667850002656</t>
        </is>
      </c>
      <c r="AZ22" t="inlineStr">
        <is>
          <t>BOOK</t>
        </is>
      </c>
      <c r="BB22" t="inlineStr">
        <is>
          <t>9780815164838</t>
        </is>
      </c>
      <c r="BC22" t="inlineStr">
        <is>
          <t>30001003441567</t>
        </is>
      </c>
      <c r="BD22" t="inlineStr">
        <is>
          <t>893459961</t>
        </is>
      </c>
    </row>
    <row r="23">
      <c r="A23" t="inlineStr">
        <is>
          <t>No</t>
        </is>
      </c>
      <c r="B23" t="inlineStr">
        <is>
          <t>QU 4 M848b 1994</t>
        </is>
      </c>
      <c r="C23" t="inlineStr">
        <is>
          <t>0                      QU 0004000M  848b        1994</t>
        </is>
      </c>
      <c r="D23" t="inlineStr">
        <is>
          <t>Biochemistry / Laurence A. Moran ... [et al.].</t>
        </is>
      </c>
      <c r="F23" t="inlineStr">
        <is>
          <t>No</t>
        </is>
      </c>
      <c r="G23" t="inlineStr">
        <is>
          <t>1</t>
        </is>
      </c>
      <c r="H23" t="inlineStr">
        <is>
          <t>No</t>
        </is>
      </c>
      <c r="I23" t="inlineStr">
        <is>
          <t>No</t>
        </is>
      </c>
      <c r="J23" t="inlineStr">
        <is>
          <t>0</t>
        </is>
      </c>
      <c r="K23" t="inlineStr">
        <is>
          <t>Moran, Laurence A., 1956-</t>
        </is>
      </c>
      <c r="L23" t="inlineStr">
        <is>
          <t>Englewood Cliffs, NJ : Neil Patterson Publishers, c1994.</t>
        </is>
      </c>
      <c r="M23" t="inlineStr">
        <is>
          <t>1994</t>
        </is>
      </c>
      <c r="N23" t="inlineStr">
        <is>
          <t>2nd ed.</t>
        </is>
      </c>
      <c r="O23" t="inlineStr">
        <is>
          <t>eng</t>
        </is>
      </c>
      <c r="P23" t="inlineStr">
        <is>
          <t>nju</t>
        </is>
      </c>
      <c r="R23" t="inlineStr">
        <is>
          <t xml:space="preserve">QU </t>
        </is>
      </c>
      <c r="S23" t="n">
        <v>38</v>
      </c>
      <c r="T23" t="n">
        <v>38</v>
      </c>
      <c r="U23" t="inlineStr">
        <is>
          <t>2000-03-20</t>
        </is>
      </c>
      <c r="V23" t="inlineStr">
        <is>
          <t>2000-03-20</t>
        </is>
      </c>
      <c r="W23" t="inlineStr">
        <is>
          <t>1995-10-23</t>
        </is>
      </c>
      <c r="X23" t="inlineStr">
        <is>
          <t>1995-10-23</t>
        </is>
      </c>
      <c r="Y23" t="n">
        <v>154</v>
      </c>
      <c r="Z23" t="n">
        <v>79</v>
      </c>
      <c r="AA23" t="n">
        <v>87</v>
      </c>
      <c r="AB23" t="n">
        <v>1</v>
      </c>
      <c r="AC23" t="n">
        <v>1</v>
      </c>
      <c r="AD23" t="n">
        <v>1</v>
      </c>
      <c r="AE23" t="n">
        <v>1</v>
      </c>
      <c r="AF23" t="n">
        <v>1</v>
      </c>
      <c r="AG23" t="n">
        <v>1</v>
      </c>
      <c r="AH23" t="n">
        <v>1</v>
      </c>
      <c r="AI23" t="n">
        <v>1</v>
      </c>
      <c r="AJ23" t="n">
        <v>0</v>
      </c>
      <c r="AK23" t="n">
        <v>0</v>
      </c>
      <c r="AL23" t="n">
        <v>0</v>
      </c>
      <c r="AM23" t="n">
        <v>0</v>
      </c>
      <c r="AN23" t="n">
        <v>0</v>
      </c>
      <c r="AO23" t="n">
        <v>0</v>
      </c>
      <c r="AP23" t="inlineStr">
        <is>
          <t>No</t>
        </is>
      </c>
      <c r="AQ23" t="inlineStr">
        <is>
          <t>Yes</t>
        </is>
      </c>
      <c r="AR23">
        <f>HYPERLINK("http://catalog.hathitrust.org/Record/007478058","HathiTrust Record")</f>
        <v/>
      </c>
      <c r="AS23">
        <f>HYPERLINK("https://creighton-primo.hosted.exlibrisgroup.com/primo-explore/search?tab=default_tab&amp;search_scope=EVERYTHING&amp;vid=01CRU&amp;lang=en_US&amp;offset=0&amp;query=any,contains,991001495619702656","Catalog Record")</f>
        <v/>
      </c>
      <c r="AT23">
        <f>HYPERLINK("http://www.worldcat.org/oclc/29702569","WorldCat Record")</f>
        <v/>
      </c>
      <c r="AU23" t="inlineStr">
        <is>
          <t>5218429888:eng</t>
        </is>
      </c>
      <c r="AV23" t="inlineStr">
        <is>
          <t>29702569</t>
        </is>
      </c>
      <c r="AW23" t="inlineStr">
        <is>
          <t>991001495619702656</t>
        </is>
      </c>
      <c r="AX23" t="inlineStr">
        <is>
          <t>991001495619702656</t>
        </is>
      </c>
      <c r="AY23" t="inlineStr">
        <is>
          <t>2261280750002656</t>
        </is>
      </c>
      <c r="AZ23" t="inlineStr">
        <is>
          <t>BOOK</t>
        </is>
      </c>
      <c r="BB23" t="inlineStr">
        <is>
          <t>9780138144432</t>
        </is>
      </c>
      <c r="BC23" t="inlineStr">
        <is>
          <t>30001003261429</t>
        </is>
      </c>
      <c r="BD23" t="inlineStr">
        <is>
          <t>893460644</t>
        </is>
      </c>
    </row>
    <row r="24">
      <c r="A24" t="inlineStr">
        <is>
          <t>No</t>
        </is>
      </c>
      <c r="B24" t="inlineStr">
        <is>
          <t>QU 4 M848b 1994 Suppl.</t>
        </is>
      </c>
      <c r="C24" t="inlineStr">
        <is>
          <t>0                      QU 0004000M  848b        1994                                        Suppl.</t>
        </is>
      </c>
      <c r="D24" t="inlineStr">
        <is>
          <t>Biochemistry resource book / Laurence A. Moran, K. Gray Scrimgeour ; contributing authors, R. Roy Baker ... [et al. ; Charlotte W. Pratt, principal editor].</t>
        </is>
      </c>
      <c r="E24" t="inlineStr">
        <is>
          <t>Suppl.*</t>
        </is>
      </c>
      <c r="F24" t="inlineStr">
        <is>
          <t>No</t>
        </is>
      </c>
      <c r="G24" t="inlineStr">
        <is>
          <t>1</t>
        </is>
      </c>
      <c r="H24" t="inlineStr">
        <is>
          <t>No</t>
        </is>
      </c>
      <c r="I24" t="inlineStr">
        <is>
          <t>No</t>
        </is>
      </c>
      <c r="J24" t="inlineStr">
        <is>
          <t>0</t>
        </is>
      </c>
      <c r="L24" t="inlineStr">
        <is>
          <t>Englewood Cliffs, NJ : Neil Patterson Publishers/Prentice Hall, c1994.</t>
        </is>
      </c>
      <c r="M24" t="inlineStr">
        <is>
          <t>1994</t>
        </is>
      </c>
      <c r="O24" t="inlineStr">
        <is>
          <t>eng</t>
        </is>
      </c>
      <c r="P24" t="inlineStr">
        <is>
          <t>nju</t>
        </is>
      </c>
      <c r="R24" t="inlineStr">
        <is>
          <t xml:space="preserve">QU </t>
        </is>
      </c>
      <c r="S24" t="n">
        <v>17</v>
      </c>
      <c r="T24" t="n">
        <v>17</v>
      </c>
      <c r="U24" t="inlineStr">
        <is>
          <t>2006-08-30</t>
        </is>
      </c>
      <c r="V24" t="inlineStr">
        <is>
          <t>2006-08-30</t>
        </is>
      </c>
      <c r="W24" t="inlineStr">
        <is>
          <t>1995-10-23</t>
        </is>
      </c>
      <c r="X24" t="inlineStr">
        <is>
          <t>1995-10-23</t>
        </is>
      </c>
      <c r="Y24" t="n">
        <v>125</v>
      </c>
      <c r="Z24" t="n">
        <v>60</v>
      </c>
      <c r="AA24" t="n">
        <v>67</v>
      </c>
      <c r="AB24" t="n">
        <v>1</v>
      </c>
      <c r="AC24" t="n">
        <v>1</v>
      </c>
      <c r="AD24" t="n">
        <v>0</v>
      </c>
      <c r="AE24" t="n">
        <v>0</v>
      </c>
      <c r="AF24" t="n">
        <v>0</v>
      </c>
      <c r="AG24" t="n">
        <v>0</v>
      </c>
      <c r="AH24" t="n">
        <v>0</v>
      </c>
      <c r="AI24" t="n">
        <v>0</v>
      </c>
      <c r="AJ24" t="n">
        <v>0</v>
      </c>
      <c r="AK24" t="n">
        <v>0</v>
      </c>
      <c r="AL24" t="n">
        <v>0</v>
      </c>
      <c r="AM24" t="n">
        <v>0</v>
      </c>
      <c r="AN24" t="n">
        <v>0</v>
      </c>
      <c r="AO24" t="n">
        <v>0</v>
      </c>
      <c r="AP24" t="inlineStr">
        <is>
          <t>No</t>
        </is>
      </c>
      <c r="AQ24" t="inlineStr">
        <is>
          <t>Yes</t>
        </is>
      </c>
      <c r="AR24">
        <f>HYPERLINK("http://catalog.hathitrust.org/Record/009208441","HathiTrust Record")</f>
        <v/>
      </c>
      <c r="AS24">
        <f>HYPERLINK("https://creighton-primo.hosted.exlibrisgroup.com/primo-explore/search?tab=default_tab&amp;search_scope=EVERYTHING&amp;vid=01CRU&amp;lang=en_US&amp;offset=0&amp;query=any,contains,991001495119702656","Catalog Record")</f>
        <v/>
      </c>
      <c r="AT24">
        <f>HYPERLINK("http://www.worldcat.org/oclc/31910072","WorldCat Record")</f>
        <v/>
      </c>
      <c r="AU24" t="inlineStr">
        <is>
          <t>3980207537:eng</t>
        </is>
      </c>
      <c r="AV24" t="inlineStr">
        <is>
          <t>31910072</t>
        </is>
      </c>
      <c r="AW24" t="inlineStr">
        <is>
          <t>991001495119702656</t>
        </is>
      </c>
      <c r="AX24" t="inlineStr">
        <is>
          <t>991001495119702656</t>
        </is>
      </c>
      <c r="AY24" t="inlineStr">
        <is>
          <t>2258329770002656</t>
        </is>
      </c>
      <c r="AZ24" t="inlineStr">
        <is>
          <t>BOOK</t>
        </is>
      </c>
      <c r="BB24" t="inlineStr">
        <is>
          <t>9780138166793</t>
        </is>
      </c>
      <c r="BC24" t="inlineStr">
        <is>
          <t>30001003261411</t>
        </is>
      </c>
      <c r="BD24" t="inlineStr">
        <is>
          <t>893546763</t>
        </is>
      </c>
    </row>
    <row r="25">
      <c r="A25" t="inlineStr">
        <is>
          <t>No</t>
        </is>
      </c>
      <c r="B25" t="inlineStr">
        <is>
          <t>QU 4 MO195T 1971 no.10</t>
        </is>
      </c>
      <c r="C25" t="inlineStr">
        <is>
          <t>0                      QU 0004000MO 195T        1971                                        no.10</t>
        </is>
      </c>
      <c r="D25" t="inlineStr">
        <is>
          <t>Chemistry of fungicidal action / R.J. Lukens.</t>
        </is>
      </c>
      <c r="E25" t="inlineStr">
        <is>
          <t>no.10*</t>
        </is>
      </c>
      <c r="F25" t="inlineStr">
        <is>
          <t>No</t>
        </is>
      </c>
      <c r="G25" t="inlineStr">
        <is>
          <t>1</t>
        </is>
      </c>
      <c r="H25" t="inlineStr">
        <is>
          <t>No</t>
        </is>
      </c>
      <c r="I25" t="inlineStr">
        <is>
          <t>No</t>
        </is>
      </c>
      <c r="J25" t="inlineStr">
        <is>
          <t>0</t>
        </is>
      </c>
      <c r="K25" t="inlineStr">
        <is>
          <t>Lukens, Raymond J.</t>
        </is>
      </c>
      <c r="L25" t="inlineStr">
        <is>
          <t>Berlin ; New York : Springer-Verlag, 1971.</t>
        </is>
      </c>
      <c r="M25" t="inlineStr">
        <is>
          <t>1971</t>
        </is>
      </c>
      <c r="O25" t="inlineStr">
        <is>
          <t>eng</t>
        </is>
      </c>
      <c r="P25" t="inlineStr">
        <is>
          <t xml:space="preserve">gw </t>
        </is>
      </c>
      <c r="Q25" t="inlineStr">
        <is>
          <t>Molecular biology, biochemistry, and biophysics ; 10</t>
        </is>
      </c>
      <c r="R25" t="inlineStr">
        <is>
          <t xml:space="preserve">QU </t>
        </is>
      </c>
      <c r="S25" t="n">
        <v>2</v>
      </c>
      <c r="T25" t="n">
        <v>2</v>
      </c>
      <c r="U25" t="inlineStr">
        <is>
          <t>1995-11-19</t>
        </is>
      </c>
      <c r="V25" t="inlineStr">
        <is>
          <t>1995-11-19</t>
        </is>
      </c>
      <c r="W25" t="inlineStr">
        <is>
          <t>1988-03-03</t>
        </is>
      </c>
      <c r="X25" t="inlineStr">
        <is>
          <t>1988-03-03</t>
        </is>
      </c>
      <c r="Y25" t="n">
        <v>312</v>
      </c>
      <c r="Z25" t="n">
        <v>210</v>
      </c>
      <c r="AA25" t="n">
        <v>256</v>
      </c>
      <c r="AB25" t="n">
        <v>1</v>
      </c>
      <c r="AC25" t="n">
        <v>1</v>
      </c>
      <c r="AD25" t="n">
        <v>6</v>
      </c>
      <c r="AE25" t="n">
        <v>7</v>
      </c>
      <c r="AF25" t="n">
        <v>0</v>
      </c>
      <c r="AG25" t="n">
        <v>1</v>
      </c>
      <c r="AH25" t="n">
        <v>4</v>
      </c>
      <c r="AI25" t="n">
        <v>4</v>
      </c>
      <c r="AJ25" t="n">
        <v>4</v>
      </c>
      <c r="AK25" t="n">
        <v>5</v>
      </c>
      <c r="AL25" t="n">
        <v>0</v>
      </c>
      <c r="AM25" t="n">
        <v>0</v>
      </c>
      <c r="AN25" t="n">
        <v>0</v>
      </c>
      <c r="AO25" t="n">
        <v>0</v>
      </c>
      <c r="AP25" t="inlineStr">
        <is>
          <t>No</t>
        </is>
      </c>
      <c r="AQ25" t="inlineStr">
        <is>
          <t>Yes</t>
        </is>
      </c>
      <c r="AR25">
        <f>HYPERLINK("http://catalog.hathitrust.org/Record/001506959","HathiTrust Record")</f>
        <v/>
      </c>
      <c r="AS25">
        <f>HYPERLINK("https://creighton-primo.hosted.exlibrisgroup.com/primo-explore/search?tab=default_tab&amp;search_scope=EVERYTHING&amp;vid=01CRU&amp;lang=en_US&amp;offset=0&amp;query=any,contains,991000853779702656","Catalog Record")</f>
        <v/>
      </c>
      <c r="AT25">
        <f>HYPERLINK("http://www.worldcat.org/oclc/221192","WorldCat Record")</f>
        <v/>
      </c>
      <c r="AU25" t="inlineStr">
        <is>
          <t>1323983:eng</t>
        </is>
      </c>
      <c r="AV25" t="inlineStr">
        <is>
          <t>221192</t>
        </is>
      </c>
      <c r="AW25" t="inlineStr">
        <is>
          <t>991000853779702656</t>
        </is>
      </c>
      <c r="AX25" t="inlineStr">
        <is>
          <t>991000853779702656</t>
        </is>
      </c>
      <c r="AY25" t="inlineStr">
        <is>
          <t>2258260880002656</t>
        </is>
      </c>
      <c r="AZ25" t="inlineStr">
        <is>
          <t>BOOK</t>
        </is>
      </c>
      <c r="BC25" t="inlineStr">
        <is>
          <t>30001000134587</t>
        </is>
      </c>
      <c r="BD25" t="inlineStr">
        <is>
          <t>893450557</t>
        </is>
      </c>
    </row>
    <row r="26">
      <c r="A26" t="inlineStr">
        <is>
          <t>No</t>
        </is>
      </c>
      <c r="B26" t="inlineStr">
        <is>
          <t>QU 4 N813 1982</t>
        </is>
      </c>
      <c r="C26" t="inlineStr">
        <is>
          <t>0                      QU 0004000N  813         1982</t>
        </is>
      </c>
      <c r="D26" t="inlineStr">
        <is>
          <t>Noninvasive probes of tissue metabolism / Jack S. Cohen, editor.</t>
        </is>
      </c>
      <c r="F26" t="inlineStr">
        <is>
          <t>No</t>
        </is>
      </c>
      <c r="G26" t="inlineStr">
        <is>
          <t>1</t>
        </is>
      </c>
      <c r="H26" t="inlineStr">
        <is>
          <t>No</t>
        </is>
      </c>
      <c r="I26" t="inlineStr">
        <is>
          <t>No</t>
        </is>
      </c>
      <c r="J26" t="inlineStr">
        <is>
          <t>0</t>
        </is>
      </c>
      <c r="L26" t="inlineStr">
        <is>
          <t>New York : Wiley, c1982.</t>
        </is>
      </c>
      <c r="M26" t="inlineStr">
        <is>
          <t>1982</t>
        </is>
      </c>
      <c r="O26" t="inlineStr">
        <is>
          <t>eng</t>
        </is>
      </c>
      <c r="P26" t="inlineStr">
        <is>
          <t>xxu</t>
        </is>
      </c>
      <c r="Q26" t="inlineStr">
        <is>
          <t>Wiley-Interscience publication</t>
        </is>
      </c>
      <c r="R26" t="inlineStr">
        <is>
          <t xml:space="preserve">QU </t>
        </is>
      </c>
      <c r="S26" t="n">
        <v>1</v>
      </c>
      <c r="T26" t="n">
        <v>1</v>
      </c>
      <c r="U26" t="inlineStr">
        <is>
          <t>1989-05-03</t>
        </is>
      </c>
      <c r="V26" t="inlineStr">
        <is>
          <t>1989-05-03</t>
        </is>
      </c>
      <c r="W26" t="inlineStr">
        <is>
          <t>1988-01-26</t>
        </is>
      </c>
      <c r="X26" t="inlineStr">
        <is>
          <t>1988-01-26</t>
        </is>
      </c>
      <c r="Y26" t="n">
        <v>142</v>
      </c>
      <c r="Z26" t="n">
        <v>106</v>
      </c>
      <c r="AA26" t="n">
        <v>106</v>
      </c>
      <c r="AB26" t="n">
        <v>2</v>
      </c>
      <c r="AC26" t="n">
        <v>2</v>
      </c>
      <c r="AD26" t="n">
        <v>1</v>
      </c>
      <c r="AE26" t="n">
        <v>1</v>
      </c>
      <c r="AF26" t="n">
        <v>0</v>
      </c>
      <c r="AG26" t="n">
        <v>0</v>
      </c>
      <c r="AH26" t="n">
        <v>0</v>
      </c>
      <c r="AI26" t="n">
        <v>0</v>
      </c>
      <c r="AJ26" t="n">
        <v>0</v>
      </c>
      <c r="AK26" t="n">
        <v>0</v>
      </c>
      <c r="AL26" t="n">
        <v>1</v>
      </c>
      <c r="AM26" t="n">
        <v>1</v>
      </c>
      <c r="AN26" t="n">
        <v>0</v>
      </c>
      <c r="AO26" t="n">
        <v>0</v>
      </c>
      <c r="AP26" t="inlineStr">
        <is>
          <t>No</t>
        </is>
      </c>
      <c r="AQ26" t="inlineStr">
        <is>
          <t>Yes</t>
        </is>
      </c>
      <c r="AR26">
        <f>HYPERLINK("http://catalog.hathitrust.org/Record/000145573","HathiTrust Record")</f>
        <v/>
      </c>
      <c r="AS26">
        <f>HYPERLINK("https://creighton-primo.hosted.exlibrisgroup.com/primo-explore/search?tab=default_tab&amp;search_scope=EVERYTHING&amp;vid=01CRU&amp;lang=en_US&amp;offset=0&amp;query=any,contains,991000917889702656","Catalog Record")</f>
        <v/>
      </c>
      <c r="AT26">
        <f>HYPERLINK("http://www.worldcat.org/oclc/7572690","WorldCat Record")</f>
        <v/>
      </c>
      <c r="AU26" t="inlineStr">
        <is>
          <t>28820775:eng</t>
        </is>
      </c>
      <c r="AV26" t="inlineStr">
        <is>
          <t>7572690</t>
        </is>
      </c>
      <c r="AW26" t="inlineStr">
        <is>
          <t>991000917889702656</t>
        </is>
      </c>
      <c r="AX26" t="inlineStr">
        <is>
          <t>991000917889702656</t>
        </is>
      </c>
      <c r="AY26" t="inlineStr">
        <is>
          <t>2260943250002656</t>
        </is>
      </c>
      <c r="AZ26" t="inlineStr">
        <is>
          <t>BOOK</t>
        </is>
      </c>
      <c r="BB26" t="inlineStr">
        <is>
          <t>9780471088936</t>
        </is>
      </c>
      <c r="BC26" t="inlineStr">
        <is>
          <t>30001000179996</t>
        </is>
      </c>
      <c r="BD26" t="inlineStr">
        <is>
          <t>893740580</t>
        </is>
      </c>
    </row>
    <row r="27">
      <c r="A27" t="inlineStr">
        <is>
          <t>No</t>
        </is>
      </c>
      <c r="B27" t="inlineStr">
        <is>
          <t>QU 4 NE372F 1985 v.12</t>
        </is>
      </c>
      <c r="C27" t="inlineStr">
        <is>
          <t>0                      QU 0004000NE 372F        1985                                        v.12</t>
        </is>
      </c>
      <c r="D27" t="inlineStr">
        <is>
          <t>Sterols and bile acids / editors, Henry Danielsson and Jan Sjövall.</t>
        </is>
      </c>
      <c r="E27" t="inlineStr">
        <is>
          <t>V.12</t>
        </is>
      </c>
      <c r="F27" t="inlineStr">
        <is>
          <t>No</t>
        </is>
      </c>
      <c r="G27" t="inlineStr">
        <is>
          <t>1</t>
        </is>
      </c>
      <c r="H27" t="inlineStr">
        <is>
          <t>No</t>
        </is>
      </c>
      <c r="I27" t="inlineStr">
        <is>
          <t>No</t>
        </is>
      </c>
      <c r="J27" t="inlineStr">
        <is>
          <t>0</t>
        </is>
      </c>
      <c r="L27" t="inlineStr">
        <is>
          <t>Amsterdam ; New York : Elsevier ; New York, NY, (U.S.A.) : Sole distributors for the U.S.A. and Canada, Elsevier Science Pub. Co., c1985.</t>
        </is>
      </c>
      <c r="M27" t="inlineStr">
        <is>
          <t>1985</t>
        </is>
      </c>
      <c r="O27" t="inlineStr">
        <is>
          <t>eng</t>
        </is>
      </c>
      <c r="P27" t="inlineStr">
        <is>
          <t xml:space="preserve">ne </t>
        </is>
      </c>
      <c r="Q27" t="inlineStr">
        <is>
          <t>New comprehensive biochemistry ; v. 12</t>
        </is>
      </c>
      <c r="R27" t="inlineStr">
        <is>
          <t xml:space="preserve">QU </t>
        </is>
      </c>
      <c r="S27" t="n">
        <v>5</v>
      </c>
      <c r="T27" t="n">
        <v>5</v>
      </c>
      <c r="U27" t="inlineStr">
        <is>
          <t>1989-04-06</t>
        </is>
      </c>
      <c r="V27" t="inlineStr">
        <is>
          <t>1989-04-06</t>
        </is>
      </c>
      <c r="W27" t="inlineStr">
        <is>
          <t>1989-02-24</t>
        </is>
      </c>
      <c r="X27" t="inlineStr">
        <is>
          <t>1989-02-24</t>
        </is>
      </c>
      <c r="Y27" t="n">
        <v>380</v>
      </c>
      <c r="Z27" t="n">
        <v>244</v>
      </c>
      <c r="AA27" t="n">
        <v>278</v>
      </c>
      <c r="AB27" t="n">
        <v>2</v>
      </c>
      <c r="AC27" t="n">
        <v>2</v>
      </c>
      <c r="AD27" t="n">
        <v>10</v>
      </c>
      <c r="AE27" t="n">
        <v>10</v>
      </c>
      <c r="AF27" t="n">
        <v>5</v>
      </c>
      <c r="AG27" t="n">
        <v>5</v>
      </c>
      <c r="AH27" t="n">
        <v>3</v>
      </c>
      <c r="AI27" t="n">
        <v>3</v>
      </c>
      <c r="AJ27" t="n">
        <v>6</v>
      </c>
      <c r="AK27" t="n">
        <v>6</v>
      </c>
      <c r="AL27" t="n">
        <v>1</v>
      </c>
      <c r="AM27" t="n">
        <v>1</v>
      </c>
      <c r="AN27" t="n">
        <v>0</v>
      </c>
      <c r="AO27" t="n">
        <v>0</v>
      </c>
      <c r="AP27" t="inlineStr">
        <is>
          <t>No</t>
        </is>
      </c>
      <c r="AQ27" t="inlineStr">
        <is>
          <t>Yes</t>
        </is>
      </c>
      <c r="AR27">
        <f>HYPERLINK("http://catalog.hathitrust.org/Record/000382802","HathiTrust Record")</f>
        <v/>
      </c>
      <c r="AS27">
        <f>HYPERLINK("https://creighton-primo.hosted.exlibrisgroup.com/primo-explore/search?tab=default_tab&amp;search_scope=EVERYTHING&amp;vid=01CRU&amp;lang=en_US&amp;offset=0&amp;query=any,contains,991001240229702656","Catalog Record")</f>
        <v/>
      </c>
      <c r="AT27">
        <f>HYPERLINK("http://www.worldcat.org/oclc/12614074","WorldCat Record")</f>
        <v/>
      </c>
      <c r="AU27" t="inlineStr">
        <is>
          <t>355679600:eng</t>
        </is>
      </c>
      <c r="AV27" t="inlineStr">
        <is>
          <t>12614074</t>
        </is>
      </c>
      <c r="AW27" t="inlineStr">
        <is>
          <t>991001240229702656</t>
        </is>
      </c>
      <c r="AX27" t="inlineStr">
        <is>
          <t>991001240229702656</t>
        </is>
      </c>
      <c r="AY27" t="inlineStr">
        <is>
          <t>2271735380002656</t>
        </is>
      </c>
      <c r="AZ27" t="inlineStr">
        <is>
          <t>BOOK</t>
        </is>
      </c>
      <c r="BB27" t="inlineStr">
        <is>
          <t>9780444806703</t>
        </is>
      </c>
      <c r="BC27" t="inlineStr">
        <is>
          <t>30001001675406</t>
        </is>
      </c>
      <c r="BD27" t="inlineStr">
        <is>
          <t>893358388</t>
        </is>
      </c>
    </row>
    <row r="28">
      <c r="A28" t="inlineStr">
        <is>
          <t>No</t>
        </is>
      </c>
      <c r="B28" t="inlineStr">
        <is>
          <t>QU 4 NE372F 1987 v.16</t>
        </is>
      </c>
      <c r="C28" t="inlineStr">
        <is>
          <t>0                      QU 0004000NE 372F        1987                                        v.16</t>
        </is>
      </c>
      <c r="D28" t="inlineStr">
        <is>
          <t>Hydrolytic enzymes / editors, A. Neuberger and K. Brocklehurst.</t>
        </is>
      </c>
      <c r="E28" t="inlineStr">
        <is>
          <t>V.16</t>
        </is>
      </c>
      <c r="F28" t="inlineStr">
        <is>
          <t>No</t>
        </is>
      </c>
      <c r="G28" t="inlineStr">
        <is>
          <t>1</t>
        </is>
      </c>
      <c r="H28" t="inlineStr">
        <is>
          <t>No</t>
        </is>
      </c>
      <c r="I28" t="inlineStr">
        <is>
          <t>No</t>
        </is>
      </c>
      <c r="J28" t="inlineStr">
        <is>
          <t>0</t>
        </is>
      </c>
      <c r="L28" t="inlineStr">
        <is>
          <t>Amsterdam ; New York : Elsevier/North-Holland Biomedical Press ; New York, NY : Sole distributors for the U.S.A. and Canada, Elsevier/North-Holland, c1987.</t>
        </is>
      </c>
      <c r="M28" t="inlineStr">
        <is>
          <t>1987</t>
        </is>
      </c>
      <c r="O28" t="inlineStr">
        <is>
          <t>eng</t>
        </is>
      </c>
      <c r="P28" t="inlineStr">
        <is>
          <t xml:space="preserve">ne </t>
        </is>
      </c>
      <c r="Q28" t="inlineStr">
        <is>
          <t>New comprehensive biochemistry ; v. 16</t>
        </is>
      </c>
      <c r="R28" t="inlineStr">
        <is>
          <t xml:space="preserve">QU </t>
        </is>
      </c>
      <c r="S28" t="n">
        <v>3</v>
      </c>
      <c r="T28" t="n">
        <v>3</v>
      </c>
      <c r="U28" t="inlineStr">
        <is>
          <t>1989-04-06</t>
        </is>
      </c>
      <c r="V28" t="inlineStr">
        <is>
          <t>1989-04-06</t>
        </is>
      </c>
      <c r="W28" t="inlineStr">
        <is>
          <t>1989-02-24</t>
        </is>
      </c>
      <c r="X28" t="inlineStr">
        <is>
          <t>1989-02-24</t>
        </is>
      </c>
      <c r="Y28" t="n">
        <v>307</v>
      </c>
      <c r="Z28" t="n">
        <v>205</v>
      </c>
      <c r="AA28" t="n">
        <v>247</v>
      </c>
      <c r="AB28" t="n">
        <v>2</v>
      </c>
      <c r="AC28" t="n">
        <v>2</v>
      </c>
      <c r="AD28" t="n">
        <v>10</v>
      </c>
      <c r="AE28" t="n">
        <v>11</v>
      </c>
      <c r="AF28" t="n">
        <v>5</v>
      </c>
      <c r="AG28" t="n">
        <v>6</v>
      </c>
      <c r="AH28" t="n">
        <v>3</v>
      </c>
      <c r="AI28" t="n">
        <v>4</v>
      </c>
      <c r="AJ28" t="n">
        <v>6</v>
      </c>
      <c r="AK28" t="n">
        <v>6</v>
      </c>
      <c r="AL28" t="n">
        <v>1</v>
      </c>
      <c r="AM28" t="n">
        <v>1</v>
      </c>
      <c r="AN28" t="n">
        <v>0</v>
      </c>
      <c r="AO28" t="n">
        <v>0</v>
      </c>
      <c r="AP28" t="inlineStr">
        <is>
          <t>No</t>
        </is>
      </c>
      <c r="AQ28" t="inlineStr">
        <is>
          <t>Yes</t>
        </is>
      </c>
      <c r="AR28">
        <f>HYPERLINK("http://catalog.hathitrust.org/Record/000913267","HathiTrust Record")</f>
        <v/>
      </c>
      <c r="AS28">
        <f>HYPERLINK("https://creighton-primo.hosted.exlibrisgroup.com/primo-explore/search?tab=default_tab&amp;search_scope=EVERYTHING&amp;vid=01CRU&amp;lang=en_US&amp;offset=0&amp;query=any,contains,991001240059702656","Catalog Record")</f>
        <v/>
      </c>
      <c r="AT28">
        <f>HYPERLINK("http://www.worldcat.org/oclc/18782154","WorldCat Record")</f>
        <v/>
      </c>
      <c r="AU28" t="inlineStr">
        <is>
          <t>694458525:eng</t>
        </is>
      </c>
      <c r="AV28" t="inlineStr">
        <is>
          <t>18782154</t>
        </is>
      </c>
      <c r="AW28" t="inlineStr">
        <is>
          <t>991001240059702656</t>
        </is>
      </c>
      <c r="AX28" t="inlineStr">
        <is>
          <t>991001240059702656</t>
        </is>
      </c>
      <c r="AY28" t="inlineStr">
        <is>
          <t>2267798490002656</t>
        </is>
      </c>
      <c r="AZ28" t="inlineStr">
        <is>
          <t>BOOK</t>
        </is>
      </c>
      <c r="BB28" t="inlineStr">
        <is>
          <t>9780444803030</t>
        </is>
      </c>
      <c r="BC28" t="inlineStr">
        <is>
          <t>30001001675380</t>
        </is>
      </c>
      <c r="BD28" t="inlineStr">
        <is>
          <t>893821062</t>
        </is>
      </c>
    </row>
    <row r="29">
      <c r="A29" t="inlineStr">
        <is>
          <t>No</t>
        </is>
      </c>
      <c r="B29" t="inlineStr">
        <is>
          <t>QU 4 O78b 1982</t>
        </is>
      </c>
      <c r="C29" t="inlineStr">
        <is>
          <t>0                      QU 0004000O  78b         1982</t>
        </is>
      </c>
      <c r="D29" t="inlineStr">
        <is>
          <t>Human biochemistry / James M. Orten, Otto W. Neuhaus.</t>
        </is>
      </c>
      <c r="F29" t="inlineStr">
        <is>
          <t>No</t>
        </is>
      </c>
      <c r="G29" t="inlineStr">
        <is>
          <t>1</t>
        </is>
      </c>
      <c r="H29" t="inlineStr">
        <is>
          <t>No</t>
        </is>
      </c>
      <c r="I29" t="inlineStr">
        <is>
          <t>No</t>
        </is>
      </c>
      <c r="J29" t="inlineStr">
        <is>
          <t>0</t>
        </is>
      </c>
      <c r="K29" t="inlineStr">
        <is>
          <t>Orten, James M., 1904-</t>
        </is>
      </c>
      <c r="L29" t="inlineStr">
        <is>
          <t>St. Louis : Mosby, c1982.</t>
        </is>
      </c>
      <c r="M29" t="inlineStr">
        <is>
          <t>1982</t>
        </is>
      </c>
      <c r="N29" t="inlineStr">
        <is>
          <t>10th ed.</t>
        </is>
      </c>
      <c r="O29" t="inlineStr">
        <is>
          <t>eng</t>
        </is>
      </c>
      <c r="P29" t="inlineStr">
        <is>
          <t>xxu</t>
        </is>
      </c>
      <c r="R29" t="inlineStr">
        <is>
          <t xml:space="preserve">QU </t>
        </is>
      </c>
      <c r="S29" t="n">
        <v>23</v>
      </c>
      <c r="T29" t="n">
        <v>23</v>
      </c>
      <c r="U29" t="inlineStr">
        <is>
          <t>1996-09-13</t>
        </is>
      </c>
      <c r="V29" t="inlineStr">
        <is>
          <t>1996-09-13</t>
        </is>
      </c>
      <c r="W29" t="inlineStr">
        <is>
          <t>1987-09-27</t>
        </is>
      </c>
      <c r="X29" t="inlineStr">
        <is>
          <t>1987-09-27</t>
        </is>
      </c>
      <c r="Y29" t="n">
        <v>331</v>
      </c>
      <c r="Z29" t="n">
        <v>246</v>
      </c>
      <c r="AA29" t="n">
        <v>491</v>
      </c>
      <c r="AB29" t="n">
        <v>4</v>
      </c>
      <c r="AC29" t="n">
        <v>7</v>
      </c>
      <c r="AD29" t="n">
        <v>8</v>
      </c>
      <c r="AE29" t="n">
        <v>21</v>
      </c>
      <c r="AF29" t="n">
        <v>3</v>
      </c>
      <c r="AG29" t="n">
        <v>6</v>
      </c>
      <c r="AH29" t="n">
        <v>1</v>
      </c>
      <c r="AI29" t="n">
        <v>4</v>
      </c>
      <c r="AJ29" t="n">
        <v>4</v>
      </c>
      <c r="AK29" t="n">
        <v>12</v>
      </c>
      <c r="AL29" t="n">
        <v>2</v>
      </c>
      <c r="AM29" t="n">
        <v>5</v>
      </c>
      <c r="AN29" t="n">
        <v>0</v>
      </c>
      <c r="AO29" t="n">
        <v>0</v>
      </c>
      <c r="AP29" t="inlineStr">
        <is>
          <t>No</t>
        </is>
      </c>
      <c r="AQ29" t="inlineStr">
        <is>
          <t>Yes</t>
        </is>
      </c>
      <c r="AR29">
        <f>HYPERLINK("http://catalog.hathitrust.org/Record/000265540","HathiTrust Record")</f>
        <v/>
      </c>
      <c r="AS29">
        <f>HYPERLINK("https://creighton-primo.hosted.exlibrisgroup.com/primo-explore/search?tab=default_tab&amp;search_scope=EVERYTHING&amp;vid=01CRU&amp;lang=en_US&amp;offset=0&amp;query=any,contains,991000758649702656","Catalog Record")</f>
        <v/>
      </c>
      <c r="AT29">
        <f>HYPERLINK("http://www.worldcat.org/oclc/7774051","WorldCat Record")</f>
        <v/>
      </c>
      <c r="AU29" t="inlineStr">
        <is>
          <t>1662048:eng</t>
        </is>
      </c>
      <c r="AV29" t="inlineStr">
        <is>
          <t>7774051</t>
        </is>
      </c>
      <c r="AW29" t="inlineStr">
        <is>
          <t>991000758649702656</t>
        </is>
      </c>
      <c r="AX29" t="inlineStr">
        <is>
          <t>991000758649702656</t>
        </is>
      </c>
      <c r="AY29" t="inlineStr">
        <is>
          <t>2272670980002656</t>
        </is>
      </c>
      <c r="AZ29" t="inlineStr">
        <is>
          <t>BOOK</t>
        </is>
      </c>
      <c r="BB29" t="inlineStr">
        <is>
          <t>9780801637308</t>
        </is>
      </c>
      <c r="BC29" t="inlineStr">
        <is>
          <t>30001000054819</t>
        </is>
      </c>
      <c r="BD29" t="inlineStr">
        <is>
          <t>893632035</t>
        </is>
      </c>
    </row>
    <row r="30">
      <c r="A30" t="inlineStr">
        <is>
          <t>No</t>
        </is>
      </c>
      <c r="B30" t="inlineStr">
        <is>
          <t>QU 4 OU94B 1981</t>
        </is>
      </c>
      <c r="C30" t="inlineStr">
        <is>
          <t>0                      QU 0004000OU 94B         1981</t>
        </is>
      </c>
      <c r="D30" t="inlineStr">
        <is>
          <t>Brain biochemistry / H.S. Bachelard.</t>
        </is>
      </c>
      <c r="F30" t="inlineStr">
        <is>
          <t>No</t>
        </is>
      </c>
      <c r="G30" t="inlineStr">
        <is>
          <t>1</t>
        </is>
      </c>
      <c r="H30" t="inlineStr">
        <is>
          <t>No</t>
        </is>
      </c>
      <c r="I30" t="inlineStr">
        <is>
          <t>No</t>
        </is>
      </c>
      <c r="J30" t="inlineStr">
        <is>
          <t>0</t>
        </is>
      </c>
      <c r="K30" t="inlineStr">
        <is>
          <t>Bachelard, H. S.</t>
        </is>
      </c>
      <c r="L30" t="inlineStr">
        <is>
          <t>London ; New York : Chapman and Hall, c1981.</t>
        </is>
      </c>
      <c r="M30" t="inlineStr">
        <is>
          <t>1981</t>
        </is>
      </c>
      <c r="N30" t="inlineStr">
        <is>
          <t>2nd ed.</t>
        </is>
      </c>
      <c r="O30" t="inlineStr">
        <is>
          <t>eng</t>
        </is>
      </c>
      <c r="P30" t="inlineStr">
        <is>
          <t>enk</t>
        </is>
      </c>
      <c r="Q30" t="inlineStr">
        <is>
          <t>Outline studies in biology.</t>
        </is>
      </c>
      <c r="R30" t="inlineStr">
        <is>
          <t xml:space="preserve">QU </t>
        </is>
      </c>
      <c r="S30" t="n">
        <v>4</v>
      </c>
      <c r="T30" t="n">
        <v>4</v>
      </c>
      <c r="U30" t="inlineStr">
        <is>
          <t>1989-01-03</t>
        </is>
      </c>
      <c r="V30" t="inlineStr">
        <is>
          <t>1989-01-03</t>
        </is>
      </c>
      <c r="W30" t="inlineStr">
        <is>
          <t>1988-01-26</t>
        </is>
      </c>
      <c r="X30" t="inlineStr">
        <is>
          <t>1988-01-26</t>
        </is>
      </c>
      <c r="Y30" t="n">
        <v>190</v>
      </c>
      <c r="Z30" t="n">
        <v>120</v>
      </c>
      <c r="AA30" t="n">
        <v>339</v>
      </c>
      <c r="AB30" t="n">
        <v>1</v>
      </c>
      <c r="AC30" t="n">
        <v>6</v>
      </c>
      <c r="AD30" t="n">
        <v>5</v>
      </c>
      <c r="AE30" t="n">
        <v>20</v>
      </c>
      <c r="AF30" t="n">
        <v>1</v>
      </c>
      <c r="AG30" t="n">
        <v>7</v>
      </c>
      <c r="AH30" t="n">
        <v>2</v>
      </c>
      <c r="AI30" t="n">
        <v>4</v>
      </c>
      <c r="AJ30" t="n">
        <v>4</v>
      </c>
      <c r="AK30" t="n">
        <v>10</v>
      </c>
      <c r="AL30" t="n">
        <v>0</v>
      </c>
      <c r="AM30" t="n">
        <v>5</v>
      </c>
      <c r="AN30" t="n">
        <v>0</v>
      </c>
      <c r="AO30" t="n">
        <v>0</v>
      </c>
      <c r="AP30" t="inlineStr">
        <is>
          <t>No</t>
        </is>
      </c>
      <c r="AQ30" t="inlineStr">
        <is>
          <t>No</t>
        </is>
      </c>
      <c r="AS30">
        <f>HYPERLINK("https://creighton-primo.hosted.exlibrisgroup.com/primo-explore/search?tab=default_tab&amp;search_scope=EVERYTHING&amp;vid=01CRU&amp;lang=en_US&amp;offset=0&amp;query=any,contains,991000854309702656","Catalog Record")</f>
        <v/>
      </c>
      <c r="AT30">
        <f>HYPERLINK("http://www.worldcat.org/oclc/7815574","WorldCat Record")</f>
        <v/>
      </c>
      <c r="AU30" t="inlineStr">
        <is>
          <t>1759727:eng</t>
        </is>
      </c>
      <c r="AV30" t="inlineStr">
        <is>
          <t>7815574</t>
        </is>
      </c>
      <c r="AW30" t="inlineStr">
        <is>
          <t>991000854309702656</t>
        </is>
      </c>
      <c r="AX30" t="inlineStr">
        <is>
          <t>991000854309702656</t>
        </is>
      </c>
      <c r="AY30" t="inlineStr">
        <is>
          <t>2272425160002656</t>
        </is>
      </c>
      <c r="AZ30" t="inlineStr">
        <is>
          <t>BOOK</t>
        </is>
      </c>
      <c r="BB30" t="inlineStr">
        <is>
          <t>9780412234705</t>
        </is>
      </c>
      <c r="BC30" t="inlineStr">
        <is>
          <t>30001000134694</t>
        </is>
      </c>
      <c r="BD30" t="inlineStr">
        <is>
          <t>893648582</t>
        </is>
      </c>
    </row>
    <row r="31">
      <c r="A31" t="inlineStr">
        <is>
          <t>No</t>
        </is>
      </c>
      <c r="B31" t="inlineStr">
        <is>
          <t>QU 4 OU94F 1977</t>
        </is>
      </c>
      <c r="C31" t="inlineStr">
        <is>
          <t>0                      QU 0004000OU 94F         1977</t>
        </is>
      </c>
      <c r="D31" t="inlineStr">
        <is>
          <t>A biochemical approach to nutrition / R.A. Freedland and Stephanie Briggs.</t>
        </is>
      </c>
      <c r="F31" t="inlineStr">
        <is>
          <t>No</t>
        </is>
      </c>
      <c r="G31" t="inlineStr">
        <is>
          <t>1</t>
        </is>
      </c>
      <c r="H31" t="inlineStr">
        <is>
          <t>No</t>
        </is>
      </c>
      <c r="I31" t="inlineStr">
        <is>
          <t>No</t>
        </is>
      </c>
      <c r="J31" t="inlineStr">
        <is>
          <t>0</t>
        </is>
      </c>
      <c r="K31" t="inlineStr">
        <is>
          <t>Freedland, Richard A. (Richard Allan)</t>
        </is>
      </c>
      <c r="L31" t="inlineStr">
        <is>
          <t>London : Chapman and Hall ; New York : distributed by Halsted Press, 1980 reprinting, c1977.</t>
        </is>
      </c>
      <c r="M31" t="inlineStr">
        <is>
          <t>1977</t>
        </is>
      </c>
      <c r="O31" t="inlineStr">
        <is>
          <t>eng</t>
        </is>
      </c>
      <c r="P31" t="inlineStr">
        <is>
          <t>enk</t>
        </is>
      </c>
      <c r="Q31" t="inlineStr">
        <is>
          <t>Outline studies in biology.</t>
        </is>
      </c>
      <c r="R31" t="inlineStr">
        <is>
          <t xml:space="preserve">QU </t>
        </is>
      </c>
      <c r="S31" t="n">
        <v>3</v>
      </c>
      <c r="T31" t="n">
        <v>3</v>
      </c>
      <c r="U31" t="inlineStr">
        <is>
          <t>1988-12-02</t>
        </is>
      </c>
      <c r="V31" t="inlineStr">
        <is>
          <t>1988-12-02</t>
        </is>
      </c>
      <c r="W31" t="inlineStr">
        <is>
          <t>1988-01-26</t>
        </is>
      </c>
      <c r="X31" t="inlineStr">
        <is>
          <t>1988-01-26</t>
        </is>
      </c>
      <c r="Y31" t="n">
        <v>461</v>
      </c>
      <c r="Z31" t="n">
        <v>330</v>
      </c>
      <c r="AA31" t="n">
        <v>360</v>
      </c>
      <c r="AB31" t="n">
        <v>4</v>
      </c>
      <c r="AC31" t="n">
        <v>4</v>
      </c>
      <c r="AD31" t="n">
        <v>12</v>
      </c>
      <c r="AE31" t="n">
        <v>14</v>
      </c>
      <c r="AF31" t="n">
        <v>5</v>
      </c>
      <c r="AG31" t="n">
        <v>7</v>
      </c>
      <c r="AH31" t="n">
        <v>2</v>
      </c>
      <c r="AI31" t="n">
        <v>2</v>
      </c>
      <c r="AJ31" t="n">
        <v>4</v>
      </c>
      <c r="AK31" t="n">
        <v>6</v>
      </c>
      <c r="AL31" t="n">
        <v>3</v>
      </c>
      <c r="AM31" t="n">
        <v>3</v>
      </c>
      <c r="AN31" t="n">
        <v>0</v>
      </c>
      <c r="AO31" t="n">
        <v>0</v>
      </c>
      <c r="AP31" t="inlineStr">
        <is>
          <t>No</t>
        </is>
      </c>
      <c r="AQ31" t="inlineStr">
        <is>
          <t>Yes</t>
        </is>
      </c>
      <c r="AR31">
        <f>HYPERLINK("http://catalog.hathitrust.org/Record/000083036","HathiTrust Record")</f>
        <v/>
      </c>
      <c r="AS31">
        <f>HYPERLINK("https://creighton-primo.hosted.exlibrisgroup.com/primo-explore/search?tab=default_tab&amp;search_scope=EVERYTHING&amp;vid=01CRU&amp;lang=en_US&amp;offset=0&amp;query=any,contains,991000854489702656","Catalog Record")</f>
        <v/>
      </c>
      <c r="AT31">
        <f>HYPERLINK("http://www.worldcat.org/oclc/2508313","WorldCat Record")</f>
        <v/>
      </c>
      <c r="AU31" t="inlineStr">
        <is>
          <t>5187107:eng</t>
        </is>
      </c>
      <c r="AV31" t="inlineStr">
        <is>
          <t>2508313</t>
        </is>
      </c>
      <c r="AW31" t="inlineStr">
        <is>
          <t>991000854489702656</t>
        </is>
      </c>
      <c r="AX31" t="inlineStr">
        <is>
          <t>991000854489702656</t>
        </is>
      </c>
      <c r="AY31" t="inlineStr">
        <is>
          <t>2255087980002656</t>
        </is>
      </c>
      <c r="AZ31" t="inlineStr">
        <is>
          <t>BOOK</t>
        </is>
      </c>
      <c r="BB31" t="inlineStr">
        <is>
          <t>9780470989852</t>
        </is>
      </c>
      <c r="BC31" t="inlineStr">
        <is>
          <t>30001000134728</t>
        </is>
      </c>
      <c r="BD31" t="inlineStr">
        <is>
          <t>893120600</t>
        </is>
      </c>
    </row>
    <row r="32">
      <c r="A32" t="inlineStr">
        <is>
          <t>No</t>
        </is>
      </c>
      <c r="B32" t="inlineStr">
        <is>
          <t>QU 4 OU94FC 1984</t>
        </is>
      </c>
      <c r="C32" t="inlineStr">
        <is>
          <t>0                      QU 0004000OU 94FC        1984</t>
        </is>
      </c>
      <c r="D32" t="inlineStr">
        <is>
          <t>The cytoskeleton : cellular architecture and choreography / Alice Fulton.</t>
        </is>
      </c>
      <c r="F32" t="inlineStr">
        <is>
          <t>No</t>
        </is>
      </c>
      <c r="G32" t="inlineStr">
        <is>
          <t>1</t>
        </is>
      </c>
      <c r="H32" t="inlineStr">
        <is>
          <t>No</t>
        </is>
      </c>
      <c r="I32" t="inlineStr">
        <is>
          <t>No</t>
        </is>
      </c>
      <c r="J32" t="inlineStr">
        <is>
          <t>0</t>
        </is>
      </c>
      <c r="K32" t="inlineStr">
        <is>
          <t>Fulton, Alice.</t>
        </is>
      </c>
      <c r="L32" t="inlineStr">
        <is>
          <t>London ; New York : Chapman and Hall, c1984.</t>
        </is>
      </c>
      <c r="M32" t="inlineStr">
        <is>
          <t>1984</t>
        </is>
      </c>
      <c r="O32" t="inlineStr">
        <is>
          <t>eng</t>
        </is>
      </c>
      <c r="P32" t="inlineStr">
        <is>
          <t>enk</t>
        </is>
      </c>
      <c r="Q32" t="inlineStr">
        <is>
          <t>Outline studies in biology.</t>
        </is>
      </c>
      <c r="R32" t="inlineStr">
        <is>
          <t xml:space="preserve">QU </t>
        </is>
      </c>
      <c r="S32" t="n">
        <v>5</v>
      </c>
      <c r="T32" t="n">
        <v>5</v>
      </c>
      <c r="U32" t="inlineStr">
        <is>
          <t>1993-07-16</t>
        </is>
      </c>
      <c r="V32" t="inlineStr">
        <is>
          <t>1993-07-16</t>
        </is>
      </c>
      <c r="W32" t="inlineStr">
        <is>
          <t>1988-01-26</t>
        </is>
      </c>
      <c r="X32" t="inlineStr">
        <is>
          <t>1988-01-26</t>
        </is>
      </c>
      <c r="Y32" t="n">
        <v>294</v>
      </c>
      <c r="Z32" t="n">
        <v>206</v>
      </c>
      <c r="AA32" t="n">
        <v>213</v>
      </c>
      <c r="AB32" t="n">
        <v>2</v>
      </c>
      <c r="AC32" t="n">
        <v>2</v>
      </c>
      <c r="AD32" t="n">
        <v>7</v>
      </c>
      <c r="AE32" t="n">
        <v>7</v>
      </c>
      <c r="AF32" t="n">
        <v>2</v>
      </c>
      <c r="AG32" t="n">
        <v>2</v>
      </c>
      <c r="AH32" t="n">
        <v>2</v>
      </c>
      <c r="AI32" t="n">
        <v>2</v>
      </c>
      <c r="AJ32" t="n">
        <v>3</v>
      </c>
      <c r="AK32" t="n">
        <v>3</v>
      </c>
      <c r="AL32" t="n">
        <v>1</v>
      </c>
      <c r="AM32" t="n">
        <v>1</v>
      </c>
      <c r="AN32" t="n">
        <v>0</v>
      </c>
      <c r="AO32" t="n">
        <v>0</v>
      </c>
      <c r="AP32" t="inlineStr">
        <is>
          <t>No</t>
        </is>
      </c>
      <c r="AQ32" t="inlineStr">
        <is>
          <t>Yes</t>
        </is>
      </c>
      <c r="AR32">
        <f>HYPERLINK("http://catalog.hathitrust.org/Record/000570423","HathiTrust Record")</f>
        <v/>
      </c>
      <c r="AS32">
        <f>HYPERLINK("https://creighton-primo.hosted.exlibrisgroup.com/primo-explore/search?tab=default_tab&amp;search_scope=EVERYTHING&amp;vid=01CRU&amp;lang=en_US&amp;offset=0&amp;query=any,contains,991000854239702656","Catalog Record")</f>
        <v/>
      </c>
      <c r="AT32">
        <f>HYPERLINK("http://www.worldcat.org/oclc/10752379","WorldCat Record")</f>
        <v/>
      </c>
      <c r="AU32" t="inlineStr">
        <is>
          <t>3943266692:eng</t>
        </is>
      </c>
      <c r="AV32" t="inlineStr">
        <is>
          <t>10752379</t>
        </is>
      </c>
      <c r="AW32" t="inlineStr">
        <is>
          <t>991000854239702656</t>
        </is>
      </c>
      <c r="AX32" t="inlineStr">
        <is>
          <t>991000854239702656</t>
        </is>
      </c>
      <c r="AY32" t="inlineStr">
        <is>
          <t>2265160690002656</t>
        </is>
      </c>
      <c r="AZ32" t="inlineStr">
        <is>
          <t>BOOK</t>
        </is>
      </c>
      <c r="BB32" t="inlineStr">
        <is>
          <t>9780412255106</t>
        </is>
      </c>
      <c r="BC32" t="inlineStr">
        <is>
          <t>30001000134678</t>
        </is>
      </c>
      <c r="BD32" t="inlineStr">
        <is>
          <t>893648581</t>
        </is>
      </c>
    </row>
    <row r="33">
      <c r="A33" t="inlineStr">
        <is>
          <t>No</t>
        </is>
      </c>
      <c r="B33" t="inlineStr">
        <is>
          <t>QU 4 OU94M 1975</t>
        </is>
      </c>
      <c r="C33" t="inlineStr">
        <is>
          <t>0                      QU 0004000OU 94M         1975</t>
        </is>
      </c>
      <c r="D33" t="inlineStr">
        <is>
          <t>Hormone action / A. M. Malkinson.</t>
        </is>
      </c>
      <c r="F33" t="inlineStr">
        <is>
          <t>No</t>
        </is>
      </c>
      <c r="G33" t="inlineStr">
        <is>
          <t>1</t>
        </is>
      </c>
      <c r="H33" t="inlineStr">
        <is>
          <t>No</t>
        </is>
      </c>
      <c r="I33" t="inlineStr">
        <is>
          <t>No</t>
        </is>
      </c>
      <c r="J33" t="inlineStr">
        <is>
          <t>0</t>
        </is>
      </c>
      <c r="K33" t="inlineStr">
        <is>
          <t>Malkinson, Alvin M. (Alvin Maynard), 1941-</t>
        </is>
      </c>
      <c r="L33" t="inlineStr">
        <is>
          <t>London : Chapman and Hall ; New York : Wiley, 1978 reprint, c1975.</t>
        </is>
      </c>
      <c r="M33" t="inlineStr">
        <is>
          <t>1975</t>
        </is>
      </c>
      <c r="O33" t="inlineStr">
        <is>
          <t>eng</t>
        </is>
      </c>
      <c r="P33" t="inlineStr">
        <is>
          <t>enk</t>
        </is>
      </c>
      <c r="Q33" t="inlineStr">
        <is>
          <t>Outline studies in biology.</t>
        </is>
      </c>
      <c r="R33" t="inlineStr">
        <is>
          <t xml:space="preserve">QU </t>
        </is>
      </c>
      <c r="S33" t="n">
        <v>5</v>
      </c>
      <c r="T33" t="n">
        <v>5</v>
      </c>
      <c r="U33" t="inlineStr">
        <is>
          <t>1998-05-04</t>
        </is>
      </c>
      <c r="V33" t="inlineStr">
        <is>
          <t>1998-05-04</t>
        </is>
      </c>
      <c r="W33" t="inlineStr">
        <is>
          <t>1989-06-17</t>
        </is>
      </c>
      <c r="X33" t="inlineStr">
        <is>
          <t>1989-06-17</t>
        </is>
      </c>
      <c r="Y33" t="n">
        <v>374</v>
      </c>
      <c r="Z33" t="n">
        <v>246</v>
      </c>
      <c r="AA33" t="n">
        <v>253</v>
      </c>
      <c r="AB33" t="n">
        <v>2</v>
      </c>
      <c r="AC33" t="n">
        <v>2</v>
      </c>
      <c r="AD33" t="n">
        <v>9</v>
      </c>
      <c r="AE33" t="n">
        <v>9</v>
      </c>
      <c r="AF33" t="n">
        <v>3</v>
      </c>
      <c r="AG33" t="n">
        <v>3</v>
      </c>
      <c r="AH33" t="n">
        <v>3</v>
      </c>
      <c r="AI33" t="n">
        <v>3</v>
      </c>
      <c r="AJ33" t="n">
        <v>5</v>
      </c>
      <c r="AK33" t="n">
        <v>5</v>
      </c>
      <c r="AL33" t="n">
        <v>1</v>
      </c>
      <c r="AM33" t="n">
        <v>1</v>
      </c>
      <c r="AN33" t="n">
        <v>0</v>
      </c>
      <c r="AO33" t="n">
        <v>0</v>
      </c>
      <c r="AP33" t="inlineStr">
        <is>
          <t>No</t>
        </is>
      </c>
      <c r="AQ33" t="inlineStr">
        <is>
          <t>Yes</t>
        </is>
      </c>
      <c r="AR33">
        <f>HYPERLINK("http://catalog.hathitrust.org/Record/000017268","HathiTrust Record")</f>
        <v/>
      </c>
      <c r="AS33">
        <f>HYPERLINK("https://creighton-primo.hosted.exlibrisgroup.com/primo-explore/search?tab=default_tab&amp;search_scope=EVERYTHING&amp;vid=01CRU&amp;lang=en_US&amp;offset=0&amp;query=any,contains,991000855109702656","Catalog Record")</f>
        <v/>
      </c>
      <c r="AT33">
        <f>HYPERLINK("http://www.worldcat.org/oclc/1529522","WorldCat Record")</f>
        <v/>
      </c>
      <c r="AU33" t="inlineStr">
        <is>
          <t>31956474:eng</t>
        </is>
      </c>
      <c r="AV33" t="inlineStr">
        <is>
          <t>1529522</t>
        </is>
      </c>
      <c r="AW33" t="inlineStr">
        <is>
          <t>991000855109702656</t>
        </is>
      </c>
      <c r="AX33" t="inlineStr">
        <is>
          <t>991000855109702656</t>
        </is>
      </c>
      <c r="AY33" t="inlineStr">
        <is>
          <t>2256728080002656</t>
        </is>
      </c>
      <c r="AZ33" t="inlineStr">
        <is>
          <t>BOOK</t>
        </is>
      </c>
      <c r="BB33" t="inlineStr">
        <is>
          <t>9780470565780</t>
        </is>
      </c>
      <c r="BC33" t="inlineStr">
        <is>
          <t>30001000134843</t>
        </is>
      </c>
      <c r="BD33" t="inlineStr">
        <is>
          <t>893133900</t>
        </is>
      </c>
    </row>
    <row r="34">
      <c r="A34" t="inlineStr">
        <is>
          <t>No</t>
        </is>
      </c>
      <c r="B34" t="inlineStr">
        <is>
          <t>QU 4 OU94S 1984</t>
        </is>
      </c>
      <c r="C34" t="inlineStr">
        <is>
          <t>0                      QU 0004000OU 94S         1984</t>
        </is>
      </c>
      <c r="D34" t="inlineStr">
        <is>
          <t>Antibodies, their structure and function / M.W. Steward.</t>
        </is>
      </c>
      <c r="F34" t="inlineStr">
        <is>
          <t>No</t>
        </is>
      </c>
      <c r="G34" t="inlineStr">
        <is>
          <t>1</t>
        </is>
      </c>
      <c r="H34" t="inlineStr">
        <is>
          <t>No</t>
        </is>
      </c>
      <c r="I34" t="inlineStr">
        <is>
          <t>No</t>
        </is>
      </c>
      <c r="J34" t="inlineStr">
        <is>
          <t>0</t>
        </is>
      </c>
      <c r="K34" t="inlineStr">
        <is>
          <t>Steward, M. W. (Michael W.), 1940-</t>
        </is>
      </c>
      <c r="L34" t="inlineStr">
        <is>
          <t>London ; New York : Chapman and Hall, c1984.</t>
        </is>
      </c>
      <c r="M34" t="inlineStr">
        <is>
          <t>1984</t>
        </is>
      </c>
      <c r="O34" t="inlineStr">
        <is>
          <t>eng</t>
        </is>
      </c>
      <c r="P34" t="inlineStr">
        <is>
          <t>enk</t>
        </is>
      </c>
      <c r="Q34" t="inlineStr">
        <is>
          <t>Outline studies in biology</t>
        </is>
      </c>
      <c r="R34" t="inlineStr">
        <is>
          <t xml:space="preserve">QU </t>
        </is>
      </c>
      <c r="S34" t="n">
        <v>5</v>
      </c>
      <c r="T34" t="n">
        <v>5</v>
      </c>
      <c r="U34" t="inlineStr">
        <is>
          <t>2002-10-04</t>
        </is>
      </c>
      <c r="V34" t="inlineStr">
        <is>
          <t>2002-10-04</t>
        </is>
      </c>
      <c r="W34" t="inlineStr">
        <is>
          <t>1988-01-26</t>
        </is>
      </c>
      <c r="X34" t="inlineStr">
        <is>
          <t>1988-01-26</t>
        </is>
      </c>
      <c r="Y34" t="n">
        <v>316</v>
      </c>
      <c r="Z34" t="n">
        <v>196</v>
      </c>
      <c r="AA34" t="n">
        <v>216</v>
      </c>
      <c r="AB34" t="n">
        <v>2</v>
      </c>
      <c r="AC34" t="n">
        <v>2</v>
      </c>
      <c r="AD34" t="n">
        <v>5</v>
      </c>
      <c r="AE34" t="n">
        <v>6</v>
      </c>
      <c r="AF34" t="n">
        <v>2</v>
      </c>
      <c r="AG34" t="n">
        <v>3</v>
      </c>
      <c r="AH34" t="n">
        <v>1</v>
      </c>
      <c r="AI34" t="n">
        <v>1</v>
      </c>
      <c r="AJ34" t="n">
        <v>2</v>
      </c>
      <c r="AK34" t="n">
        <v>3</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HYPERLINK("https://creighton-primo.hosted.exlibrisgroup.com/primo-explore/search?tab=default_tab&amp;search_scope=EVERYTHING&amp;vid=01CRU&amp;lang=en_US&amp;offset=0&amp;query=any,contains,991000854279702656","Catalog Record")</f>
        <v/>
      </c>
      <c r="AT34">
        <f>HYPERLINK("http://www.worldcat.org/oclc/10185345","WorldCat Record")</f>
        <v/>
      </c>
      <c r="AU34" t="inlineStr">
        <is>
          <t>3473170:eng</t>
        </is>
      </c>
      <c r="AV34" t="inlineStr">
        <is>
          <t>10185345</t>
        </is>
      </c>
      <c r="AW34" t="inlineStr">
        <is>
          <t>991000854279702656</t>
        </is>
      </c>
      <c r="AX34" t="inlineStr">
        <is>
          <t>991000854279702656</t>
        </is>
      </c>
      <c r="AY34" t="inlineStr">
        <is>
          <t>2267640340002656</t>
        </is>
      </c>
      <c r="AZ34" t="inlineStr">
        <is>
          <t>BOOK</t>
        </is>
      </c>
      <c r="BB34" t="inlineStr">
        <is>
          <t>9780412256400</t>
        </is>
      </c>
      <c r="BC34" t="inlineStr">
        <is>
          <t>30001000134702</t>
        </is>
      </c>
      <c r="BD34" t="inlineStr">
        <is>
          <t>893455217</t>
        </is>
      </c>
    </row>
    <row r="35">
      <c r="A35" t="inlineStr">
        <is>
          <t>No</t>
        </is>
      </c>
      <c r="B35" t="inlineStr">
        <is>
          <t>QU 4 OU94SJ 1982</t>
        </is>
      </c>
      <c r="C35" t="inlineStr">
        <is>
          <t>0                      QU 0004000OU 94SJ        1982</t>
        </is>
      </c>
      <c r="D35" t="inlineStr">
        <is>
          <t>Membrane biochemistry / E. Sim.</t>
        </is>
      </c>
      <c r="F35" t="inlineStr">
        <is>
          <t>No</t>
        </is>
      </c>
      <c r="G35" t="inlineStr">
        <is>
          <t>1</t>
        </is>
      </c>
      <c r="H35" t="inlineStr">
        <is>
          <t>No</t>
        </is>
      </c>
      <c r="I35" t="inlineStr">
        <is>
          <t>No</t>
        </is>
      </c>
      <c r="J35" t="inlineStr">
        <is>
          <t>0</t>
        </is>
      </c>
      <c r="K35" t="inlineStr">
        <is>
          <t>Sim, E. (Edith)</t>
        </is>
      </c>
      <c r="L35" t="inlineStr">
        <is>
          <t>London ; New York : Chapman and Hall, 1982.</t>
        </is>
      </c>
      <c r="M35" t="inlineStr">
        <is>
          <t>1982</t>
        </is>
      </c>
      <c r="O35" t="inlineStr">
        <is>
          <t>eng</t>
        </is>
      </c>
      <c r="P35" t="inlineStr">
        <is>
          <t>enk</t>
        </is>
      </c>
      <c r="Q35" t="inlineStr">
        <is>
          <t>Outline studies in biology</t>
        </is>
      </c>
      <c r="R35" t="inlineStr">
        <is>
          <t xml:space="preserve">QU </t>
        </is>
      </c>
      <c r="S35" t="n">
        <v>7</v>
      </c>
      <c r="T35" t="n">
        <v>7</v>
      </c>
      <c r="U35" t="inlineStr">
        <is>
          <t>1997-12-19</t>
        </is>
      </c>
      <c r="V35" t="inlineStr">
        <is>
          <t>1997-12-19</t>
        </is>
      </c>
      <c r="W35" t="inlineStr">
        <is>
          <t>1988-01-26</t>
        </is>
      </c>
      <c r="X35" t="inlineStr">
        <is>
          <t>1988-01-26</t>
        </is>
      </c>
      <c r="Y35" t="n">
        <v>264</v>
      </c>
      <c r="Z35" t="n">
        <v>163</v>
      </c>
      <c r="AA35" t="n">
        <v>180</v>
      </c>
      <c r="AB35" t="n">
        <v>1</v>
      </c>
      <c r="AC35" t="n">
        <v>1</v>
      </c>
      <c r="AD35" t="n">
        <v>5</v>
      </c>
      <c r="AE35" t="n">
        <v>5</v>
      </c>
      <c r="AF35" t="n">
        <v>2</v>
      </c>
      <c r="AG35" t="n">
        <v>2</v>
      </c>
      <c r="AH35" t="n">
        <v>1</v>
      </c>
      <c r="AI35" t="n">
        <v>1</v>
      </c>
      <c r="AJ35" t="n">
        <v>4</v>
      </c>
      <c r="AK35" t="n">
        <v>4</v>
      </c>
      <c r="AL35" t="n">
        <v>0</v>
      </c>
      <c r="AM35" t="n">
        <v>0</v>
      </c>
      <c r="AN35" t="n">
        <v>0</v>
      </c>
      <c r="AO35" t="n">
        <v>0</v>
      </c>
      <c r="AP35" t="inlineStr">
        <is>
          <t>No</t>
        </is>
      </c>
      <c r="AQ35" t="inlineStr">
        <is>
          <t>Yes</t>
        </is>
      </c>
      <c r="AR35">
        <f>HYPERLINK("http://catalog.hathitrust.org/Record/000784474","HathiTrust Record")</f>
        <v/>
      </c>
      <c r="AS35">
        <f>HYPERLINK("https://creighton-primo.hosted.exlibrisgroup.com/primo-explore/search?tab=default_tab&amp;search_scope=EVERYTHING&amp;vid=01CRU&amp;lang=en_US&amp;offset=0&amp;query=any,contains,991000854059702656","Catalog Record")</f>
        <v/>
      </c>
      <c r="AT35">
        <f>HYPERLINK("http://www.worldcat.org/oclc/8533499","WorldCat Record")</f>
        <v/>
      </c>
      <c r="AU35" t="inlineStr">
        <is>
          <t>478366:eng</t>
        </is>
      </c>
      <c r="AV35" t="inlineStr">
        <is>
          <t>8533499</t>
        </is>
      </c>
      <c r="AW35" t="inlineStr">
        <is>
          <t>991000854059702656</t>
        </is>
      </c>
      <c r="AX35" t="inlineStr">
        <is>
          <t>991000854059702656</t>
        </is>
      </c>
      <c r="AY35" t="inlineStr">
        <is>
          <t>2254704100002656</t>
        </is>
      </c>
      <c r="AZ35" t="inlineStr">
        <is>
          <t>BOOK</t>
        </is>
      </c>
      <c r="BB35" t="inlineStr">
        <is>
          <t>9780412238109</t>
        </is>
      </c>
      <c r="BC35" t="inlineStr">
        <is>
          <t>30001000134652</t>
        </is>
      </c>
      <c r="BD35" t="inlineStr">
        <is>
          <t>893374003</t>
        </is>
      </c>
    </row>
    <row r="36">
      <c r="A36" t="inlineStr">
        <is>
          <t>No</t>
        </is>
      </c>
      <c r="B36" t="inlineStr">
        <is>
          <t>QU 4 OU94W 1983</t>
        </is>
      </c>
      <c r="C36" t="inlineStr">
        <is>
          <t>0                      QU 0004000OU 94W         1983</t>
        </is>
      </c>
      <c r="D36" t="inlineStr">
        <is>
          <t>The biochemistry of membrane transport / I.C. West.</t>
        </is>
      </c>
      <c r="F36" t="inlineStr">
        <is>
          <t>No</t>
        </is>
      </c>
      <c r="G36" t="inlineStr">
        <is>
          <t>1</t>
        </is>
      </c>
      <c r="H36" t="inlineStr">
        <is>
          <t>No</t>
        </is>
      </c>
      <c r="I36" t="inlineStr">
        <is>
          <t>No</t>
        </is>
      </c>
      <c r="J36" t="inlineStr">
        <is>
          <t>0</t>
        </is>
      </c>
      <c r="K36" t="inlineStr">
        <is>
          <t>West, I. C. (Ian Charles)</t>
        </is>
      </c>
      <c r="L36" t="inlineStr">
        <is>
          <t>London ; New York : Chapman and Hall, c1983.</t>
        </is>
      </c>
      <c r="M36" t="inlineStr">
        <is>
          <t>1983</t>
        </is>
      </c>
      <c r="O36" t="inlineStr">
        <is>
          <t>eng</t>
        </is>
      </c>
      <c r="P36" t="inlineStr">
        <is>
          <t>enk</t>
        </is>
      </c>
      <c r="Q36" t="inlineStr">
        <is>
          <t>Outline studies in biology.</t>
        </is>
      </c>
      <c r="R36" t="inlineStr">
        <is>
          <t xml:space="preserve">QU </t>
        </is>
      </c>
      <c r="S36" t="n">
        <v>3</v>
      </c>
      <c r="T36" t="n">
        <v>3</v>
      </c>
      <c r="U36" t="inlineStr">
        <is>
          <t>1989-01-03</t>
        </is>
      </c>
      <c r="V36" t="inlineStr">
        <is>
          <t>1989-01-03</t>
        </is>
      </c>
      <c r="W36" t="inlineStr">
        <is>
          <t>1988-01-26</t>
        </is>
      </c>
      <c r="X36" t="inlineStr">
        <is>
          <t>1988-01-26</t>
        </is>
      </c>
      <c r="Y36" t="n">
        <v>274</v>
      </c>
      <c r="Z36" t="n">
        <v>168</v>
      </c>
      <c r="AA36" t="n">
        <v>169</v>
      </c>
      <c r="AB36" t="n">
        <v>1</v>
      </c>
      <c r="AC36" t="n">
        <v>1</v>
      </c>
      <c r="AD36" t="n">
        <v>5</v>
      </c>
      <c r="AE36" t="n">
        <v>5</v>
      </c>
      <c r="AF36" t="n">
        <v>3</v>
      </c>
      <c r="AG36" t="n">
        <v>3</v>
      </c>
      <c r="AH36" t="n">
        <v>0</v>
      </c>
      <c r="AI36" t="n">
        <v>0</v>
      </c>
      <c r="AJ36" t="n">
        <v>3</v>
      </c>
      <c r="AK36" t="n">
        <v>3</v>
      </c>
      <c r="AL36" t="n">
        <v>0</v>
      </c>
      <c r="AM36" t="n">
        <v>0</v>
      </c>
      <c r="AN36" t="n">
        <v>0</v>
      </c>
      <c r="AO36" t="n">
        <v>0</v>
      </c>
      <c r="AP36" t="inlineStr">
        <is>
          <t>No</t>
        </is>
      </c>
      <c r="AQ36" t="inlineStr">
        <is>
          <t>Yes</t>
        </is>
      </c>
      <c r="AR36">
        <f>HYPERLINK("http://catalog.hathitrust.org/Record/000569105","HathiTrust Record")</f>
        <v/>
      </c>
      <c r="AS36">
        <f>HYPERLINK("https://creighton-primo.hosted.exlibrisgroup.com/primo-explore/search?tab=default_tab&amp;search_scope=EVERYTHING&amp;vid=01CRU&amp;lang=en_US&amp;offset=0&amp;query=any,contains,991000854019702656","Catalog Record")</f>
        <v/>
      </c>
      <c r="AT36">
        <f>HYPERLINK("http://www.worldcat.org/oclc/9686853","WorldCat Record")</f>
        <v/>
      </c>
      <c r="AU36" t="inlineStr">
        <is>
          <t>20310902:eng</t>
        </is>
      </c>
      <c r="AV36" t="inlineStr">
        <is>
          <t>9686853</t>
        </is>
      </c>
      <c r="AW36" t="inlineStr">
        <is>
          <t>991000854019702656</t>
        </is>
      </c>
      <c r="AX36" t="inlineStr">
        <is>
          <t>991000854019702656</t>
        </is>
      </c>
      <c r="AY36" t="inlineStr">
        <is>
          <t>2269558980002656</t>
        </is>
      </c>
      <c r="AZ36" t="inlineStr">
        <is>
          <t>BOOK</t>
        </is>
      </c>
      <c r="BB36" t="inlineStr">
        <is>
          <t>9780412241901</t>
        </is>
      </c>
      <c r="BC36" t="inlineStr">
        <is>
          <t>30001000134645</t>
        </is>
      </c>
      <c r="BD36" t="inlineStr">
        <is>
          <t>893267652</t>
        </is>
      </c>
    </row>
    <row r="37">
      <c r="A37" t="inlineStr">
        <is>
          <t>No</t>
        </is>
      </c>
      <c r="B37" t="inlineStr">
        <is>
          <t>QU 4 P2905i 1979</t>
        </is>
      </c>
      <c r="C37" t="inlineStr">
        <is>
          <t>0                      QU 0004000P  2905i       1979</t>
        </is>
      </c>
      <c r="D37" t="inlineStr">
        <is>
          <t>An introduction to human biochemistry / C.A. Pasternak.</t>
        </is>
      </c>
      <c r="F37" t="inlineStr">
        <is>
          <t>No</t>
        </is>
      </c>
      <c r="G37" t="inlineStr">
        <is>
          <t>1</t>
        </is>
      </c>
      <c r="H37" t="inlineStr">
        <is>
          <t>No</t>
        </is>
      </c>
      <c r="I37" t="inlineStr">
        <is>
          <t>No</t>
        </is>
      </c>
      <c r="J37" t="inlineStr">
        <is>
          <t>0</t>
        </is>
      </c>
      <c r="K37" t="inlineStr">
        <is>
          <t>Pasternak, Charles A. (Charles Alexander)</t>
        </is>
      </c>
      <c r="L37" t="inlineStr">
        <is>
          <t>Oxford ; New York : Oxford Univ. Press, c1979.</t>
        </is>
      </c>
      <c r="M37" t="inlineStr">
        <is>
          <t>1979</t>
        </is>
      </c>
      <c r="O37" t="inlineStr">
        <is>
          <t>eng</t>
        </is>
      </c>
      <c r="P37" t="inlineStr">
        <is>
          <t>enk</t>
        </is>
      </c>
      <c r="Q37" t="inlineStr">
        <is>
          <t>Oxford medical publications</t>
        </is>
      </c>
      <c r="R37" t="inlineStr">
        <is>
          <t xml:space="preserve">QU </t>
        </is>
      </c>
      <c r="S37" t="n">
        <v>20</v>
      </c>
      <c r="T37" t="n">
        <v>20</v>
      </c>
      <c r="U37" t="inlineStr">
        <is>
          <t>2003-10-02</t>
        </is>
      </c>
      <c r="V37" t="inlineStr">
        <is>
          <t>2003-10-02</t>
        </is>
      </c>
      <c r="W37" t="inlineStr">
        <is>
          <t>1988-01-26</t>
        </is>
      </c>
      <c r="X37" t="inlineStr">
        <is>
          <t>1988-01-26</t>
        </is>
      </c>
      <c r="Y37" t="n">
        <v>254</v>
      </c>
      <c r="Z37" t="n">
        <v>145</v>
      </c>
      <c r="AA37" t="n">
        <v>149</v>
      </c>
      <c r="AB37" t="n">
        <v>2</v>
      </c>
      <c r="AC37" t="n">
        <v>2</v>
      </c>
      <c r="AD37" t="n">
        <v>6</v>
      </c>
      <c r="AE37" t="n">
        <v>6</v>
      </c>
      <c r="AF37" t="n">
        <v>2</v>
      </c>
      <c r="AG37" t="n">
        <v>2</v>
      </c>
      <c r="AH37" t="n">
        <v>1</v>
      </c>
      <c r="AI37" t="n">
        <v>1</v>
      </c>
      <c r="AJ37" t="n">
        <v>5</v>
      </c>
      <c r="AK37" t="n">
        <v>5</v>
      </c>
      <c r="AL37" t="n">
        <v>1</v>
      </c>
      <c r="AM37" t="n">
        <v>1</v>
      </c>
      <c r="AN37" t="n">
        <v>0</v>
      </c>
      <c r="AO37" t="n">
        <v>0</v>
      </c>
      <c r="AP37" t="inlineStr">
        <is>
          <t>No</t>
        </is>
      </c>
      <c r="AQ37" t="inlineStr">
        <is>
          <t>Yes</t>
        </is>
      </c>
      <c r="AR37">
        <f>HYPERLINK("http://catalog.hathitrust.org/Record/010377763","HathiTrust Record")</f>
        <v/>
      </c>
      <c r="AS37">
        <f>HYPERLINK("https://creighton-primo.hosted.exlibrisgroup.com/primo-explore/search?tab=default_tab&amp;search_scope=EVERYTHING&amp;vid=01CRU&amp;lang=en_US&amp;offset=0&amp;query=any,contains,991000854709702656","Catalog Record")</f>
        <v/>
      </c>
      <c r="AT37">
        <f>HYPERLINK("http://www.worldcat.org/oclc/4193535","WorldCat Record")</f>
        <v/>
      </c>
      <c r="AU37" t="inlineStr">
        <is>
          <t>14608284:eng</t>
        </is>
      </c>
      <c r="AV37" t="inlineStr">
        <is>
          <t>4193535</t>
        </is>
      </c>
      <c r="AW37" t="inlineStr">
        <is>
          <t>991000854709702656</t>
        </is>
      </c>
      <c r="AX37" t="inlineStr">
        <is>
          <t>991000854709702656</t>
        </is>
      </c>
      <c r="AY37" t="inlineStr">
        <is>
          <t>2259272330002656</t>
        </is>
      </c>
      <c r="AZ37" t="inlineStr">
        <is>
          <t>BOOK</t>
        </is>
      </c>
      <c r="BB37" t="inlineStr">
        <is>
          <t>9780192611277</t>
        </is>
      </c>
      <c r="BC37" t="inlineStr">
        <is>
          <t>30001000134785</t>
        </is>
      </c>
      <c r="BD37" t="inlineStr">
        <is>
          <t>893551851</t>
        </is>
      </c>
    </row>
    <row r="38">
      <c r="A38" t="inlineStr">
        <is>
          <t>No</t>
        </is>
      </c>
      <c r="B38" t="inlineStr">
        <is>
          <t>QU 4 P576 1975</t>
        </is>
      </c>
      <c r="C38" t="inlineStr">
        <is>
          <t>0                      QU 0004000P  576         1975</t>
        </is>
      </c>
      <c r="D38" t="inlineStr">
        <is>
          <t>Physiological and pharmacological biochemistry / edited by H. K. F. Blaschko.</t>
        </is>
      </c>
      <c r="E38" t="inlineStr">
        <is>
          <t>V. 12</t>
        </is>
      </c>
      <c r="F38" t="inlineStr">
        <is>
          <t>No</t>
        </is>
      </c>
      <c r="G38" t="inlineStr">
        <is>
          <t>1</t>
        </is>
      </c>
      <c r="H38" t="inlineStr">
        <is>
          <t>No</t>
        </is>
      </c>
      <c r="I38" t="inlineStr">
        <is>
          <t>No</t>
        </is>
      </c>
      <c r="J38" t="inlineStr">
        <is>
          <t>0</t>
        </is>
      </c>
      <c r="K38" t="inlineStr">
        <is>
          <t>Blaschko, H. K. F., 1900-1993.</t>
        </is>
      </c>
      <c r="L38" t="inlineStr">
        <is>
          <t>London, Butterworths; Baltimore, University Park Press [1975]</t>
        </is>
      </c>
      <c r="M38" t="inlineStr">
        <is>
          <t>1975</t>
        </is>
      </c>
      <c r="O38" t="inlineStr">
        <is>
          <t>eng</t>
        </is>
      </c>
      <c r="P38" t="inlineStr">
        <is>
          <t>enk</t>
        </is>
      </c>
      <c r="Q38" t="inlineStr">
        <is>
          <t>Biochemistry, series one, v. 12</t>
        </is>
      </c>
      <c r="R38" t="inlineStr">
        <is>
          <t xml:space="preserve">QU </t>
        </is>
      </c>
      <c r="S38" t="n">
        <v>3</v>
      </c>
      <c r="T38" t="n">
        <v>3</v>
      </c>
      <c r="U38" t="inlineStr">
        <is>
          <t>1992-01-27</t>
        </is>
      </c>
      <c r="V38" t="inlineStr">
        <is>
          <t>1992-01-27</t>
        </is>
      </c>
      <c r="W38" t="inlineStr">
        <is>
          <t>1987-09-18</t>
        </is>
      </c>
      <c r="X38" t="inlineStr">
        <is>
          <t>1987-09-18</t>
        </is>
      </c>
      <c r="Y38" t="n">
        <v>335</v>
      </c>
      <c r="Z38" t="n">
        <v>261</v>
      </c>
      <c r="AA38" t="n">
        <v>268</v>
      </c>
      <c r="AB38" t="n">
        <v>4</v>
      </c>
      <c r="AC38" t="n">
        <v>4</v>
      </c>
      <c r="AD38" t="n">
        <v>12</v>
      </c>
      <c r="AE38" t="n">
        <v>12</v>
      </c>
      <c r="AF38" t="n">
        <v>1</v>
      </c>
      <c r="AG38" t="n">
        <v>1</v>
      </c>
      <c r="AH38" t="n">
        <v>4</v>
      </c>
      <c r="AI38" t="n">
        <v>4</v>
      </c>
      <c r="AJ38" t="n">
        <v>7</v>
      </c>
      <c r="AK38" t="n">
        <v>7</v>
      </c>
      <c r="AL38" t="n">
        <v>3</v>
      </c>
      <c r="AM38" t="n">
        <v>3</v>
      </c>
      <c r="AN38" t="n">
        <v>0</v>
      </c>
      <c r="AO38" t="n">
        <v>0</v>
      </c>
      <c r="AP38" t="inlineStr">
        <is>
          <t>No</t>
        </is>
      </c>
      <c r="AQ38" t="inlineStr">
        <is>
          <t>Yes</t>
        </is>
      </c>
      <c r="AR38">
        <f>HYPERLINK("http://catalog.hathitrust.org/Record/001576928","HathiTrust Record")</f>
        <v/>
      </c>
      <c r="AS38">
        <f>HYPERLINK("https://creighton-primo.hosted.exlibrisgroup.com/primo-explore/search?tab=default_tab&amp;search_scope=EVERYTHING&amp;vid=01CRU&amp;lang=en_US&amp;offset=0&amp;query=any,contains,991001487129702656","Catalog Record")</f>
        <v/>
      </c>
      <c r="AT38">
        <f>HYPERLINK("http://www.worldcat.org/oclc/1009536","WorldCat Record")</f>
        <v/>
      </c>
      <c r="AU38" t="inlineStr">
        <is>
          <t>1929399:eng</t>
        </is>
      </c>
      <c r="AV38" t="inlineStr">
        <is>
          <t>1009536</t>
        </is>
      </c>
      <c r="AW38" t="inlineStr">
        <is>
          <t>991001487129702656</t>
        </is>
      </c>
      <c r="AX38" t="inlineStr">
        <is>
          <t>991001487129702656</t>
        </is>
      </c>
      <c r="AY38" t="inlineStr">
        <is>
          <t>2263681130002656</t>
        </is>
      </c>
      <c r="AZ38" t="inlineStr">
        <is>
          <t>BOOK</t>
        </is>
      </c>
      <c r="BB38" t="inlineStr">
        <is>
          <t>9780839110767</t>
        </is>
      </c>
      <c r="BC38" t="inlineStr">
        <is>
          <t>30001000575417</t>
        </is>
      </c>
      <c r="BD38" t="inlineStr">
        <is>
          <t>893279156</t>
        </is>
      </c>
    </row>
    <row r="39">
      <c r="A39" t="inlineStr">
        <is>
          <t>No</t>
        </is>
      </c>
      <c r="B39" t="inlineStr">
        <is>
          <t>QU 4 P954 1983</t>
        </is>
      </c>
      <c r="C39" t="inlineStr">
        <is>
          <t>0                      QU 0004000P  954         1983</t>
        </is>
      </c>
      <c r="D39" t="inlineStr">
        <is>
          <t>Principles of biochemistry : mammalian biochemistry / Emil L. Smith ... [et al.].</t>
        </is>
      </c>
      <c r="F39" t="inlineStr">
        <is>
          <t>No</t>
        </is>
      </c>
      <c r="G39" t="inlineStr">
        <is>
          <t>1</t>
        </is>
      </c>
      <c r="H39" t="inlineStr">
        <is>
          <t>No</t>
        </is>
      </c>
      <c r="I39" t="inlineStr">
        <is>
          <t>No</t>
        </is>
      </c>
      <c r="J39" t="inlineStr">
        <is>
          <t>0</t>
        </is>
      </c>
      <c r="L39" t="inlineStr">
        <is>
          <t>New York : McGraw-Hill, c1983.</t>
        </is>
      </c>
      <c r="M39" t="inlineStr">
        <is>
          <t>1983</t>
        </is>
      </c>
      <c r="N39" t="inlineStr">
        <is>
          <t>7th ed.</t>
        </is>
      </c>
      <c r="O39" t="inlineStr">
        <is>
          <t>eng</t>
        </is>
      </c>
      <c r="P39" t="inlineStr">
        <is>
          <t>nyu</t>
        </is>
      </c>
      <c r="R39" t="inlineStr">
        <is>
          <t xml:space="preserve">QU </t>
        </is>
      </c>
      <c r="S39" t="n">
        <v>11</v>
      </c>
      <c r="T39" t="n">
        <v>11</v>
      </c>
      <c r="U39" t="inlineStr">
        <is>
          <t>1996-09-13</t>
        </is>
      </c>
      <c r="V39" t="inlineStr">
        <is>
          <t>1996-09-13</t>
        </is>
      </c>
      <c r="W39" t="inlineStr">
        <is>
          <t>1987-09-27</t>
        </is>
      </c>
      <c r="X39" t="inlineStr">
        <is>
          <t>1987-09-27</t>
        </is>
      </c>
      <c r="Y39" t="n">
        <v>386</v>
      </c>
      <c r="Z39" t="n">
        <v>265</v>
      </c>
      <c r="AA39" t="n">
        <v>274</v>
      </c>
      <c r="AB39" t="n">
        <v>1</v>
      </c>
      <c r="AC39" t="n">
        <v>1</v>
      </c>
      <c r="AD39" t="n">
        <v>6</v>
      </c>
      <c r="AE39" t="n">
        <v>6</v>
      </c>
      <c r="AF39" t="n">
        <v>2</v>
      </c>
      <c r="AG39" t="n">
        <v>2</v>
      </c>
      <c r="AH39" t="n">
        <v>1</v>
      </c>
      <c r="AI39" t="n">
        <v>1</v>
      </c>
      <c r="AJ39" t="n">
        <v>5</v>
      </c>
      <c r="AK39" t="n">
        <v>5</v>
      </c>
      <c r="AL39" t="n">
        <v>0</v>
      </c>
      <c r="AM39" t="n">
        <v>0</v>
      </c>
      <c r="AN39" t="n">
        <v>0</v>
      </c>
      <c r="AO39" t="n">
        <v>0</v>
      </c>
      <c r="AP39" t="inlineStr">
        <is>
          <t>No</t>
        </is>
      </c>
      <c r="AQ39" t="inlineStr">
        <is>
          <t>Yes</t>
        </is>
      </c>
      <c r="AR39">
        <f>HYPERLINK("http://catalog.hathitrust.org/Record/000771205","HathiTrust Record")</f>
        <v/>
      </c>
      <c r="AS39">
        <f>HYPERLINK("https://creighton-primo.hosted.exlibrisgroup.com/primo-explore/search?tab=default_tab&amp;search_scope=EVERYTHING&amp;vid=01CRU&amp;lang=en_US&amp;offset=0&amp;query=any,contains,991000758699702656","Catalog Record")</f>
        <v/>
      </c>
      <c r="AT39">
        <f>HYPERLINK("http://www.worldcat.org/oclc/8669492","WorldCat Record")</f>
        <v/>
      </c>
      <c r="AU39" t="inlineStr">
        <is>
          <t>5576707301:eng</t>
        </is>
      </c>
      <c r="AV39" t="inlineStr">
        <is>
          <t>8669492</t>
        </is>
      </c>
      <c r="AW39" t="inlineStr">
        <is>
          <t>991000758699702656</t>
        </is>
      </c>
      <c r="AX39" t="inlineStr">
        <is>
          <t>991000758699702656</t>
        </is>
      </c>
      <c r="AY39" t="inlineStr">
        <is>
          <t>2269945120002656</t>
        </is>
      </c>
      <c r="AZ39" t="inlineStr">
        <is>
          <t>BOOK</t>
        </is>
      </c>
      <c r="BB39" t="inlineStr">
        <is>
          <t>9780070697638</t>
        </is>
      </c>
      <c r="BC39" t="inlineStr">
        <is>
          <t>30001000054827</t>
        </is>
      </c>
      <c r="BD39" t="inlineStr">
        <is>
          <t>893464636</t>
        </is>
      </c>
    </row>
    <row r="40">
      <c r="A40" t="inlineStr">
        <is>
          <t>No</t>
        </is>
      </c>
      <c r="B40" t="inlineStr">
        <is>
          <t>QU 4 P954g 1983</t>
        </is>
      </c>
      <c r="C40" t="inlineStr">
        <is>
          <t>0                      QU 0004000P  954g        1983</t>
        </is>
      </c>
      <c r="D40" t="inlineStr">
        <is>
          <t>Principles of biochemistry, general aspects / Emil L. Smith ... [et al.].</t>
        </is>
      </c>
      <c r="F40" t="inlineStr">
        <is>
          <t>No</t>
        </is>
      </c>
      <c r="G40" t="inlineStr">
        <is>
          <t>1</t>
        </is>
      </c>
      <c r="H40" t="inlineStr">
        <is>
          <t>No</t>
        </is>
      </c>
      <c r="I40" t="inlineStr">
        <is>
          <t>Yes</t>
        </is>
      </c>
      <c r="J40" t="inlineStr">
        <is>
          <t>0</t>
        </is>
      </c>
      <c r="L40" t="inlineStr">
        <is>
          <t>New York : McGraw-Hill, c1983.</t>
        </is>
      </c>
      <c r="M40" t="inlineStr">
        <is>
          <t>1983</t>
        </is>
      </c>
      <c r="N40" t="inlineStr">
        <is>
          <t>7th ed.</t>
        </is>
      </c>
      <c r="O40" t="inlineStr">
        <is>
          <t>eng</t>
        </is>
      </c>
      <c r="P40" t="inlineStr">
        <is>
          <t>nyu</t>
        </is>
      </c>
      <c r="R40" t="inlineStr">
        <is>
          <t xml:space="preserve">QU </t>
        </is>
      </c>
      <c r="S40" t="n">
        <v>27</v>
      </c>
      <c r="T40" t="n">
        <v>27</v>
      </c>
      <c r="U40" t="inlineStr">
        <is>
          <t>2004-03-08</t>
        </is>
      </c>
      <c r="V40" t="inlineStr">
        <is>
          <t>2004-03-08</t>
        </is>
      </c>
      <c r="W40" t="inlineStr">
        <is>
          <t>1987-09-27</t>
        </is>
      </c>
      <c r="X40" t="inlineStr">
        <is>
          <t>1987-09-27</t>
        </is>
      </c>
      <c r="Y40" t="n">
        <v>428</v>
      </c>
      <c r="Z40" t="n">
        <v>316</v>
      </c>
      <c r="AA40" t="n">
        <v>1012</v>
      </c>
      <c r="AB40" t="n">
        <v>2</v>
      </c>
      <c r="AC40" t="n">
        <v>13</v>
      </c>
      <c r="AD40" t="n">
        <v>10</v>
      </c>
      <c r="AE40" t="n">
        <v>35</v>
      </c>
      <c r="AF40" t="n">
        <v>4</v>
      </c>
      <c r="AG40" t="n">
        <v>10</v>
      </c>
      <c r="AH40" t="n">
        <v>2</v>
      </c>
      <c r="AI40" t="n">
        <v>7</v>
      </c>
      <c r="AJ40" t="n">
        <v>7</v>
      </c>
      <c r="AK40" t="n">
        <v>16</v>
      </c>
      <c r="AL40" t="n">
        <v>1</v>
      </c>
      <c r="AM40" t="n">
        <v>9</v>
      </c>
      <c r="AN40" t="n">
        <v>0</v>
      </c>
      <c r="AO40" t="n">
        <v>0</v>
      </c>
      <c r="AP40" t="inlineStr">
        <is>
          <t>No</t>
        </is>
      </c>
      <c r="AQ40" t="inlineStr">
        <is>
          <t>Yes</t>
        </is>
      </c>
      <c r="AR40">
        <f>HYPERLINK("http://catalog.hathitrust.org/Record/000770374","HathiTrust Record")</f>
        <v/>
      </c>
      <c r="AS40">
        <f>HYPERLINK("https://creighton-primo.hosted.exlibrisgroup.com/primo-explore/search?tab=default_tab&amp;search_scope=EVERYTHING&amp;vid=01CRU&amp;lang=en_US&amp;offset=0&amp;query=any,contains,991000758749702656","Catalog Record")</f>
        <v/>
      </c>
      <c r="AT40">
        <f>HYPERLINK("http://www.worldcat.org/oclc/8669486","WorldCat Record")</f>
        <v/>
      </c>
      <c r="AU40" t="inlineStr">
        <is>
          <t>4929126305:eng</t>
        </is>
      </c>
      <c r="AV40" t="inlineStr">
        <is>
          <t>8669486</t>
        </is>
      </c>
      <c r="AW40" t="inlineStr">
        <is>
          <t>991000758749702656</t>
        </is>
      </c>
      <c r="AX40" t="inlineStr">
        <is>
          <t>991000758749702656</t>
        </is>
      </c>
      <c r="AY40" t="inlineStr">
        <is>
          <t>2269946510002656</t>
        </is>
      </c>
      <c r="AZ40" t="inlineStr">
        <is>
          <t>BOOK</t>
        </is>
      </c>
      <c r="BB40" t="inlineStr">
        <is>
          <t>9780070697621</t>
        </is>
      </c>
      <c r="BC40" t="inlineStr">
        <is>
          <t>30001000054835</t>
        </is>
      </c>
      <c r="BD40" t="inlineStr">
        <is>
          <t>893825631</t>
        </is>
      </c>
    </row>
    <row r="41">
      <c r="A41" t="inlineStr">
        <is>
          <t>No</t>
        </is>
      </c>
      <c r="B41" t="inlineStr">
        <is>
          <t>QU 4 R261b 1989</t>
        </is>
      </c>
      <c r="C41" t="inlineStr">
        <is>
          <t>0                      QU 0004000R  261b        1989</t>
        </is>
      </c>
      <c r="D41" t="inlineStr">
        <is>
          <t>Biochemistry / J. David Rawn.</t>
        </is>
      </c>
      <c r="F41" t="inlineStr">
        <is>
          <t>No</t>
        </is>
      </c>
      <c r="G41" t="inlineStr">
        <is>
          <t>1</t>
        </is>
      </c>
      <c r="H41" t="inlineStr">
        <is>
          <t>No</t>
        </is>
      </c>
      <c r="I41" t="inlineStr">
        <is>
          <t>No</t>
        </is>
      </c>
      <c r="J41" t="inlineStr">
        <is>
          <t>0</t>
        </is>
      </c>
      <c r="K41" t="inlineStr">
        <is>
          <t>Rawn, J. David, 1944-</t>
        </is>
      </c>
      <c r="L41" t="inlineStr">
        <is>
          <t>Burlington, N.C. : N. Patterson Publishers, c1989.</t>
        </is>
      </c>
      <c r="M41" t="inlineStr">
        <is>
          <t>1989</t>
        </is>
      </c>
      <c r="O41" t="inlineStr">
        <is>
          <t>eng</t>
        </is>
      </c>
      <c r="P41" t="inlineStr">
        <is>
          <t>ncu</t>
        </is>
      </c>
      <c r="R41" t="inlineStr">
        <is>
          <t xml:space="preserve">QU </t>
        </is>
      </c>
      <c r="S41" t="n">
        <v>67</v>
      </c>
      <c r="T41" t="n">
        <v>67</v>
      </c>
      <c r="U41" t="inlineStr">
        <is>
          <t>1998-11-14</t>
        </is>
      </c>
      <c r="V41" t="inlineStr">
        <is>
          <t>1998-11-14</t>
        </is>
      </c>
      <c r="W41" t="inlineStr">
        <is>
          <t>1989-11-20</t>
        </is>
      </c>
      <c r="X41" t="inlineStr">
        <is>
          <t>1989-11-20</t>
        </is>
      </c>
      <c r="Y41" t="n">
        <v>246</v>
      </c>
      <c r="Z41" t="n">
        <v>152</v>
      </c>
      <c r="AA41" t="n">
        <v>335</v>
      </c>
      <c r="AB41" t="n">
        <v>1</v>
      </c>
      <c r="AC41" t="n">
        <v>1</v>
      </c>
      <c r="AD41" t="n">
        <v>5</v>
      </c>
      <c r="AE41" t="n">
        <v>13</v>
      </c>
      <c r="AF41" t="n">
        <v>1</v>
      </c>
      <c r="AG41" t="n">
        <v>1</v>
      </c>
      <c r="AH41" t="n">
        <v>2</v>
      </c>
      <c r="AI41" t="n">
        <v>5</v>
      </c>
      <c r="AJ41" t="n">
        <v>4</v>
      </c>
      <c r="AK41" t="n">
        <v>10</v>
      </c>
      <c r="AL41" t="n">
        <v>0</v>
      </c>
      <c r="AM41" t="n">
        <v>0</v>
      </c>
      <c r="AN41" t="n">
        <v>0</v>
      </c>
      <c r="AO41" t="n">
        <v>0</v>
      </c>
      <c r="AP41" t="inlineStr">
        <is>
          <t>No</t>
        </is>
      </c>
      <c r="AQ41" t="inlineStr">
        <is>
          <t>Yes</t>
        </is>
      </c>
      <c r="AR41">
        <f>HYPERLINK("http://catalog.hathitrust.org/Record/002223910","HathiTrust Record")</f>
        <v/>
      </c>
      <c r="AS41">
        <f>HYPERLINK("https://creighton-primo.hosted.exlibrisgroup.com/primo-explore/search?tab=default_tab&amp;search_scope=EVERYTHING&amp;vid=01CRU&amp;lang=en_US&amp;offset=0&amp;query=any,contains,991001367059702656","Catalog Record")</f>
        <v/>
      </c>
      <c r="AT41">
        <f>HYPERLINK("http://www.worldcat.org/oclc/19815180","WorldCat Record")</f>
        <v/>
      </c>
      <c r="AU41" t="inlineStr">
        <is>
          <t>21370490:eng</t>
        </is>
      </c>
      <c r="AV41" t="inlineStr">
        <is>
          <t>19815180</t>
        </is>
      </c>
      <c r="AW41" t="inlineStr">
        <is>
          <t>991001367059702656</t>
        </is>
      </c>
      <c r="AX41" t="inlineStr">
        <is>
          <t>991001367059702656</t>
        </is>
      </c>
      <c r="AY41" t="inlineStr">
        <is>
          <t>2267738630002656</t>
        </is>
      </c>
      <c r="AZ41" t="inlineStr">
        <is>
          <t>BOOK</t>
        </is>
      </c>
      <c r="BB41" t="inlineStr">
        <is>
          <t>9780892784004</t>
        </is>
      </c>
      <c r="BC41" t="inlineStr">
        <is>
          <t>30001001797283</t>
        </is>
      </c>
      <c r="BD41" t="inlineStr">
        <is>
          <t>893821146</t>
        </is>
      </c>
    </row>
    <row r="42">
      <c r="A42" t="inlineStr">
        <is>
          <t>No</t>
        </is>
      </c>
      <c r="B42" t="inlineStr">
        <is>
          <t>QU 4 RE232GL 1977 v.2</t>
        </is>
      </c>
      <c r="C42" t="inlineStr">
        <is>
          <t>0                      QU 0004000RE 232GL       1977                                        v.2</t>
        </is>
      </c>
      <c r="D42" t="inlineStr">
        <is>
          <t>Proteinases in mammalian cells and tissues / editor, A.J. Barrett.</t>
        </is>
      </c>
      <c r="E42" t="inlineStr">
        <is>
          <t>V.2</t>
        </is>
      </c>
      <c r="F42" t="inlineStr">
        <is>
          <t>No</t>
        </is>
      </c>
      <c r="G42" t="inlineStr">
        <is>
          <t>1</t>
        </is>
      </c>
      <c r="H42" t="inlineStr">
        <is>
          <t>No</t>
        </is>
      </c>
      <c r="I42" t="inlineStr">
        <is>
          <t>No</t>
        </is>
      </c>
      <c r="J42" t="inlineStr">
        <is>
          <t>0</t>
        </is>
      </c>
      <c r="L42" t="inlineStr">
        <is>
          <t>Amsterdam ; New York : North-Holland Pub. Co. ; New York : sole distributors for the U.S.A. and Canada, Elsevier/North-Holland, 1977.</t>
        </is>
      </c>
      <c r="M42" t="inlineStr">
        <is>
          <t>1977</t>
        </is>
      </c>
      <c r="O42" t="inlineStr">
        <is>
          <t>eng</t>
        </is>
      </c>
      <c r="P42" t="inlineStr">
        <is>
          <t xml:space="preserve">ne </t>
        </is>
      </c>
      <c r="Q42" t="inlineStr">
        <is>
          <t>Research monographs in cell and tissue physiology ; v. 2</t>
        </is>
      </c>
      <c r="R42" t="inlineStr">
        <is>
          <t xml:space="preserve">QU </t>
        </is>
      </c>
      <c r="S42" t="n">
        <v>6</v>
      </c>
      <c r="T42" t="n">
        <v>6</v>
      </c>
      <c r="U42" t="inlineStr">
        <is>
          <t>1995-03-21</t>
        </is>
      </c>
      <c r="V42" t="inlineStr">
        <is>
          <t>1995-03-21</t>
        </is>
      </c>
      <c r="W42" t="inlineStr">
        <is>
          <t>1988-01-26</t>
        </is>
      </c>
      <c r="X42" t="inlineStr">
        <is>
          <t>1988-01-26</t>
        </is>
      </c>
      <c r="Y42" t="n">
        <v>245</v>
      </c>
      <c r="Z42" t="n">
        <v>155</v>
      </c>
      <c r="AA42" t="n">
        <v>157</v>
      </c>
      <c r="AB42" t="n">
        <v>3</v>
      </c>
      <c r="AC42" t="n">
        <v>3</v>
      </c>
      <c r="AD42" t="n">
        <v>6</v>
      </c>
      <c r="AE42" t="n">
        <v>6</v>
      </c>
      <c r="AF42" t="n">
        <v>0</v>
      </c>
      <c r="AG42" t="n">
        <v>0</v>
      </c>
      <c r="AH42" t="n">
        <v>3</v>
      </c>
      <c r="AI42" t="n">
        <v>3</v>
      </c>
      <c r="AJ42" t="n">
        <v>3</v>
      </c>
      <c r="AK42" t="n">
        <v>3</v>
      </c>
      <c r="AL42" t="n">
        <v>2</v>
      </c>
      <c r="AM42" t="n">
        <v>2</v>
      </c>
      <c r="AN42" t="n">
        <v>0</v>
      </c>
      <c r="AO42" t="n">
        <v>0</v>
      </c>
      <c r="AP42" t="inlineStr">
        <is>
          <t>No</t>
        </is>
      </c>
      <c r="AQ42" t="inlineStr">
        <is>
          <t>Yes</t>
        </is>
      </c>
      <c r="AR42">
        <f>HYPERLINK("http://catalog.hathitrust.org/Record/000214027","HathiTrust Record")</f>
        <v/>
      </c>
      <c r="AS42">
        <f>HYPERLINK("https://creighton-primo.hosted.exlibrisgroup.com/primo-explore/search?tab=default_tab&amp;search_scope=EVERYTHING&amp;vid=01CRU&amp;lang=en_US&amp;offset=0&amp;query=any,contains,991000854959702656","Catalog Record")</f>
        <v/>
      </c>
      <c r="AT42">
        <f>HYPERLINK("http://www.worldcat.org/oclc/2967592","WorldCat Record")</f>
        <v/>
      </c>
      <c r="AU42" t="inlineStr">
        <is>
          <t>309450708:eng</t>
        </is>
      </c>
      <c r="AV42" t="inlineStr">
        <is>
          <t>2967592</t>
        </is>
      </c>
      <c r="AW42" t="inlineStr">
        <is>
          <t>991000854959702656</t>
        </is>
      </c>
      <c r="AX42" t="inlineStr">
        <is>
          <t>991000854959702656</t>
        </is>
      </c>
      <c r="AY42" t="inlineStr">
        <is>
          <t>2269557780002656</t>
        </is>
      </c>
      <c r="AZ42" t="inlineStr">
        <is>
          <t>BOOK</t>
        </is>
      </c>
      <c r="BB42" t="inlineStr">
        <is>
          <t>9780720406191</t>
        </is>
      </c>
      <c r="BC42" t="inlineStr">
        <is>
          <t>30001000134819</t>
        </is>
      </c>
      <c r="BD42" t="inlineStr">
        <is>
          <t>893374004</t>
        </is>
      </c>
    </row>
    <row r="43">
      <c r="A43" t="inlineStr">
        <is>
          <t>No</t>
        </is>
      </c>
      <c r="B43" t="inlineStr">
        <is>
          <t>QU 4 S121c 1997</t>
        </is>
      </c>
      <c r="C43" t="inlineStr">
        <is>
          <t>0                      QU 0004000S  121c        1997</t>
        </is>
      </c>
      <c r="D43" t="inlineStr">
        <is>
          <t>Chemistry for the health sciences / George I. Sackheim, Dennis D. Lehman.</t>
        </is>
      </c>
      <c r="F43" t="inlineStr">
        <is>
          <t>No</t>
        </is>
      </c>
      <c r="G43" t="inlineStr">
        <is>
          <t>1</t>
        </is>
      </c>
      <c r="H43" t="inlineStr">
        <is>
          <t>No</t>
        </is>
      </c>
      <c r="I43" t="inlineStr">
        <is>
          <t>Yes</t>
        </is>
      </c>
      <c r="J43" t="inlineStr">
        <is>
          <t>0</t>
        </is>
      </c>
      <c r="K43" t="inlineStr">
        <is>
          <t>Sackheim, George I.</t>
        </is>
      </c>
      <c r="L43" t="inlineStr">
        <is>
          <t>Upper Saddle River, N.J. : Prentice Hall, c1998, [i.e. 1997]</t>
        </is>
      </c>
      <c r="M43" t="inlineStr">
        <is>
          <t>1997</t>
        </is>
      </c>
      <c r="N43" t="inlineStr">
        <is>
          <t>8th ed.</t>
        </is>
      </c>
      <c r="O43" t="inlineStr">
        <is>
          <t>eng</t>
        </is>
      </c>
      <c r="P43" t="inlineStr">
        <is>
          <t>nju</t>
        </is>
      </c>
      <c r="R43" t="inlineStr">
        <is>
          <t xml:space="preserve">QU </t>
        </is>
      </c>
      <c r="S43" t="n">
        <v>11</v>
      </c>
      <c r="T43" t="n">
        <v>11</v>
      </c>
      <c r="U43" t="inlineStr">
        <is>
          <t>2002-09-30</t>
        </is>
      </c>
      <c r="V43" t="inlineStr">
        <is>
          <t>2002-09-30</t>
        </is>
      </c>
      <c r="W43" t="inlineStr">
        <is>
          <t>1997-10-14</t>
        </is>
      </c>
      <c r="X43" t="inlineStr">
        <is>
          <t>1997-10-14</t>
        </is>
      </c>
      <c r="Y43" t="n">
        <v>282</v>
      </c>
      <c r="Z43" t="n">
        <v>190</v>
      </c>
      <c r="AA43" t="n">
        <v>845</v>
      </c>
      <c r="AB43" t="n">
        <v>1</v>
      </c>
      <c r="AC43" t="n">
        <v>4</v>
      </c>
      <c r="AD43" t="n">
        <v>2</v>
      </c>
      <c r="AE43" t="n">
        <v>18</v>
      </c>
      <c r="AF43" t="n">
        <v>1</v>
      </c>
      <c r="AG43" t="n">
        <v>9</v>
      </c>
      <c r="AH43" t="n">
        <v>2</v>
      </c>
      <c r="AI43" t="n">
        <v>3</v>
      </c>
      <c r="AJ43" t="n">
        <v>0</v>
      </c>
      <c r="AK43" t="n">
        <v>9</v>
      </c>
      <c r="AL43" t="n">
        <v>0</v>
      </c>
      <c r="AM43" t="n">
        <v>2</v>
      </c>
      <c r="AN43" t="n">
        <v>0</v>
      </c>
      <c r="AO43" t="n">
        <v>0</v>
      </c>
      <c r="AP43" t="inlineStr">
        <is>
          <t>No</t>
        </is>
      </c>
      <c r="AQ43" t="inlineStr">
        <is>
          <t>Yes</t>
        </is>
      </c>
      <c r="AR43">
        <f>HYPERLINK("http://catalog.hathitrust.org/Record/003946428","HathiTrust Record")</f>
        <v/>
      </c>
      <c r="AS43">
        <f>HYPERLINK("https://creighton-primo.hosted.exlibrisgroup.com/primo-explore/search?tab=default_tab&amp;search_scope=EVERYTHING&amp;vid=01CRU&amp;lang=en_US&amp;offset=0&amp;query=any,contains,991001140209702656","Catalog Record")</f>
        <v/>
      </c>
      <c r="AT43">
        <f>HYPERLINK("http://www.worldcat.org/oclc/37031282","WorldCat Record")</f>
        <v/>
      </c>
      <c r="AU43" t="inlineStr">
        <is>
          <t>1563191:eng</t>
        </is>
      </c>
      <c r="AV43" t="inlineStr">
        <is>
          <t>37031282</t>
        </is>
      </c>
      <c r="AW43" t="inlineStr">
        <is>
          <t>991001140209702656</t>
        </is>
      </c>
      <c r="AX43" t="inlineStr">
        <is>
          <t>991001140209702656</t>
        </is>
      </c>
      <c r="AY43" t="inlineStr">
        <is>
          <t>2254937440002656</t>
        </is>
      </c>
      <c r="AZ43" t="inlineStr">
        <is>
          <t>BOOK</t>
        </is>
      </c>
      <c r="BB43" t="inlineStr">
        <is>
          <t>9780137443192</t>
        </is>
      </c>
      <c r="BC43" t="inlineStr">
        <is>
          <t>30001003629344</t>
        </is>
      </c>
      <c r="BD43" t="inlineStr">
        <is>
          <t>893831938</t>
        </is>
      </c>
    </row>
    <row r="44">
      <c r="A44" t="inlineStr">
        <is>
          <t>No</t>
        </is>
      </c>
      <c r="B44" t="inlineStr">
        <is>
          <t>QU 4 S325r 1973</t>
        </is>
      </c>
      <c r="C44" t="inlineStr">
        <is>
          <t>0                      QU 0004000S  325r        1973</t>
        </is>
      </c>
      <c r="D44" t="inlineStr">
        <is>
          <t>Regulation of amino acid metabolism in mammals / Bernard Schepartz.</t>
        </is>
      </c>
      <c r="F44" t="inlineStr">
        <is>
          <t>No</t>
        </is>
      </c>
      <c r="G44" t="inlineStr">
        <is>
          <t>1</t>
        </is>
      </c>
      <c r="H44" t="inlineStr">
        <is>
          <t>No</t>
        </is>
      </c>
      <c r="I44" t="inlineStr">
        <is>
          <t>No</t>
        </is>
      </c>
      <c r="J44" t="inlineStr">
        <is>
          <t>0</t>
        </is>
      </c>
      <c r="K44" t="inlineStr">
        <is>
          <t>Schepartz, Bernard.</t>
        </is>
      </c>
      <c r="L44" t="inlineStr">
        <is>
          <t>Philadelphia : Saunders, c1973.</t>
        </is>
      </c>
      <c r="M44" t="inlineStr">
        <is>
          <t>1973</t>
        </is>
      </c>
      <c r="O44" t="inlineStr">
        <is>
          <t>eng</t>
        </is>
      </c>
      <c r="P44" t="inlineStr">
        <is>
          <t>pau</t>
        </is>
      </c>
      <c r="Q44" t="inlineStr">
        <is>
          <t>Physiological chemistry ; 5</t>
        </is>
      </c>
      <c r="R44" t="inlineStr">
        <is>
          <t xml:space="preserve">QU </t>
        </is>
      </c>
      <c r="S44" t="n">
        <v>3</v>
      </c>
      <c r="T44" t="n">
        <v>3</v>
      </c>
      <c r="U44" t="inlineStr">
        <is>
          <t>1993-10-08</t>
        </is>
      </c>
      <c r="V44" t="inlineStr">
        <is>
          <t>1993-10-08</t>
        </is>
      </c>
      <c r="W44" t="inlineStr">
        <is>
          <t>1988-01-26</t>
        </is>
      </c>
      <c r="X44" t="inlineStr">
        <is>
          <t>1988-01-26</t>
        </is>
      </c>
      <c r="Y44" t="n">
        <v>282</v>
      </c>
      <c r="Z44" t="n">
        <v>204</v>
      </c>
      <c r="AA44" t="n">
        <v>212</v>
      </c>
      <c r="AB44" t="n">
        <v>2</v>
      </c>
      <c r="AC44" t="n">
        <v>2</v>
      </c>
      <c r="AD44" t="n">
        <v>3</v>
      </c>
      <c r="AE44" t="n">
        <v>3</v>
      </c>
      <c r="AF44" t="n">
        <v>0</v>
      </c>
      <c r="AG44" t="n">
        <v>0</v>
      </c>
      <c r="AH44" t="n">
        <v>1</v>
      </c>
      <c r="AI44" t="n">
        <v>1</v>
      </c>
      <c r="AJ44" t="n">
        <v>2</v>
      </c>
      <c r="AK44" t="n">
        <v>2</v>
      </c>
      <c r="AL44" t="n">
        <v>1</v>
      </c>
      <c r="AM44" t="n">
        <v>1</v>
      </c>
      <c r="AN44" t="n">
        <v>0</v>
      </c>
      <c r="AO44" t="n">
        <v>0</v>
      </c>
      <c r="AP44" t="inlineStr">
        <is>
          <t>No</t>
        </is>
      </c>
      <c r="AQ44" t="inlineStr">
        <is>
          <t>Yes</t>
        </is>
      </c>
      <c r="AR44">
        <f>HYPERLINK("http://catalog.hathitrust.org/Record/001555502","HathiTrust Record")</f>
        <v/>
      </c>
      <c r="AS44">
        <f>HYPERLINK("https://creighton-primo.hosted.exlibrisgroup.com/primo-explore/search?tab=default_tab&amp;search_scope=EVERYTHING&amp;vid=01CRU&amp;lang=en_US&amp;offset=0&amp;query=any,contains,991000854999702656","Catalog Record")</f>
        <v/>
      </c>
      <c r="AT44">
        <f>HYPERLINK("http://www.worldcat.org/oclc/737231","WorldCat Record")</f>
        <v/>
      </c>
      <c r="AU44" t="inlineStr">
        <is>
          <t>1785041:eng</t>
        </is>
      </c>
      <c r="AV44" t="inlineStr">
        <is>
          <t>737231</t>
        </is>
      </c>
      <c r="AW44" t="inlineStr">
        <is>
          <t>991000854999702656</t>
        </is>
      </c>
      <c r="AX44" t="inlineStr">
        <is>
          <t>991000854999702656</t>
        </is>
      </c>
      <c r="AY44" t="inlineStr">
        <is>
          <t>2256698200002656</t>
        </is>
      </c>
      <c r="AZ44" t="inlineStr">
        <is>
          <t>BOOK</t>
        </is>
      </c>
      <c r="BB44" t="inlineStr">
        <is>
          <t>9780721679556</t>
        </is>
      </c>
      <c r="BC44" t="inlineStr">
        <is>
          <t>30001000134827</t>
        </is>
      </c>
      <c r="BD44" t="inlineStr">
        <is>
          <t>893120601</t>
        </is>
      </c>
    </row>
    <row r="45">
      <c r="A45" t="inlineStr">
        <is>
          <t>No</t>
        </is>
      </c>
      <c r="B45" t="inlineStr">
        <is>
          <t>QU 4 S348c 1982</t>
        </is>
      </c>
      <c r="C45" t="inlineStr">
        <is>
          <t>0                      QU 0004000S  348c        1982</t>
        </is>
      </c>
      <c r="D45" t="inlineStr">
        <is>
          <t>The chemical basis of life : general organic and biological chemistry / George H. Schmid.</t>
        </is>
      </c>
      <c r="F45" t="inlineStr">
        <is>
          <t>No</t>
        </is>
      </c>
      <c r="G45" t="inlineStr">
        <is>
          <t>1</t>
        </is>
      </c>
      <c r="H45" t="inlineStr">
        <is>
          <t>No</t>
        </is>
      </c>
      <c r="I45" t="inlineStr">
        <is>
          <t>No</t>
        </is>
      </c>
      <c r="J45" t="inlineStr">
        <is>
          <t>0</t>
        </is>
      </c>
      <c r="K45" t="inlineStr">
        <is>
          <t>Schmid, George H.</t>
        </is>
      </c>
      <c r="L45" t="inlineStr">
        <is>
          <t>Boston : Little, Brown, c1982.</t>
        </is>
      </c>
      <c r="M45" t="inlineStr">
        <is>
          <t>1982</t>
        </is>
      </c>
      <c r="O45" t="inlineStr">
        <is>
          <t>eng</t>
        </is>
      </c>
      <c r="P45" t="inlineStr">
        <is>
          <t xml:space="preserve">xx </t>
        </is>
      </c>
      <c r="R45" t="inlineStr">
        <is>
          <t xml:space="preserve">QU </t>
        </is>
      </c>
      <c r="S45" t="n">
        <v>9</v>
      </c>
      <c r="T45" t="n">
        <v>9</v>
      </c>
      <c r="U45" t="inlineStr">
        <is>
          <t>1995-09-25</t>
        </is>
      </c>
      <c r="V45" t="inlineStr">
        <is>
          <t>1995-09-25</t>
        </is>
      </c>
      <c r="W45" t="inlineStr">
        <is>
          <t>1988-01-26</t>
        </is>
      </c>
      <c r="X45" t="inlineStr">
        <is>
          <t>1988-01-26</t>
        </is>
      </c>
      <c r="Y45" t="n">
        <v>14</v>
      </c>
      <c r="Z45" t="n">
        <v>13</v>
      </c>
      <c r="AA45" t="n">
        <v>130</v>
      </c>
      <c r="AB45" t="n">
        <v>1</v>
      </c>
      <c r="AC45" t="n">
        <v>2</v>
      </c>
      <c r="AD45" t="n">
        <v>0</v>
      </c>
      <c r="AE45" t="n">
        <v>2</v>
      </c>
      <c r="AF45" t="n">
        <v>0</v>
      </c>
      <c r="AG45" t="n">
        <v>1</v>
      </c>
      <c r="AH45" t="n">
        <v>0</v>
      </c>
      <c r="AI45" t="n">
        <v>1</v>
      </c>
      <c r="AJ45" t="n">
        <v>0</v>
      </c>
      <c r="AK45" t="n">
        <v>0</v>
      </c>
      <c r="AL45" t="n">
        <v>0</v>
      </c>
      <c r="AM45" t="n">
        <v>0</v>
      </c>
      <c r="AN45" t="n">
        <v>0</v>
      </c>
      <c r="AO45" t="n">
        <v>0</v>
      </c>
      <c r="AP45" t="inlineStr">
        <is>
          <t>No</t>
        </is>
      </c>
      <c r="AQ45" t="inlineStr">
        <is>
          <t>No</t>
        </is>
      </c>
      <c r="AS45">
        <f>HYPERLINK("https://creighton-primo.hosted.exlibrisgroup.com/primo-explore/search?tab=default_tab&amp;search_scope=EVERYTHING&amp;vid=01CRU&amp;lang=en_US&amp;offset=0&amp;query=any,contains,991000855079702656","Catalog Record")</f>
        <v/>
      </c>
      <c r="AT45">
        <f>HYPERLINK("http://www.worldcat.org/oclc/8330633","WorldCat Record")</f>
        <v/>
      </c>
      <c r="AU45" t="inlineStr">
        <is>
          <t>1008633089:eng</t>
        </is>
      </c>
      <c r="AV45" t="inlineStr">
        <is>
          <t>8330633</t>
        </is>
      </c>
      <c r="AW45" t="inlineStr">
        <is>
          <t>991000855079702656</t>
        </is>
      </c>
      <c r="AX45" t="inlineStr">
        <is>
          <t>991000855079702656</t>
        </is>
      </c>
      <c r="AY45" t="inlineStr">
        <is>
          <t>2261559090002656</t>
        </is>
      </c>
      <c r="AZ45" t="inlineStr">
        <is>
          <t>BOOK</t>
        </is>
      </c>
      <c r="BC45" t="inlineStr">
        <is>
          <t>30001000134850</t>
        </is>
      </c>
      <c r="BD45" t="inlineStr">
        <is>
          <t>893820638</t>
        </is>
      </c>
    </row>
    <row r="46">
      <c r="A46" t="inlineStr">
        <is>
          <t>No</t>
        </is>
      </c>
      <c r="B46" t="inlineStr">
        <is>
          <t>QU 4 S392e 1988</t>
        </is>
      </c>
      <c r="C46" t="inlineStr">
        <is>
          <t>0                      QU 0004000S  392e        1988</t>
        </is>
      </c>
      <c r="D46" t="inlineStr">
        <is>
          <t>Essentials of biochemistry / Dorothy E. Schumm.</t>
        </is>
      </c>
      <c r="F46" t="inlineStr">
        <is>
          <t>No</t>
        </is>
      </c>
      <c r="G46" t="inlineStr">
        <is>
          <t>1</t>
        </is>
      </c>
      <c r="H46" t="inlineStr">
        <is>
          <t>No</t>
        </is>
      </c>
      <c r="I46" t="inlineStr">
        <is>
          <t>No</t>
        </is>
      </c>
      <c r="J46" t="inlineStr">
        <is>
          <t>0</t>
        </is>
      </c>
      <c r="K46" t="inlineStr">
        <is>
          <t>Schumm, Dorothy E., 1943-</t>
        </is>
      </c>
      <c r="L46" t="inlineStr">
        <is>
          <t>Philadelphia : Davis, c1988.</t>
        </is>
      </c>
      <c r="M46" t="inlineStr">
        <is>
          <t>1988</t>
        </is>
      </c>
      <c r="O46" t="inlineStr">
        <is>
          <t>eng</t>
        </is>
      </c>
      <c r="P46" t="inlineStr">
        <is>
          <t>xxu</t>
        </is>
      </c>
      <c r="Q46" t="inlineStr">
        <is>
          <t>Essentials of medical education series</t>
        </is>
      </c>
      <c r="R46" t="inlineStr">
        <is>
          <t xml:space="preserve">QU </t>
        </is>
      </c>
      <c r="S46" t="n">
        <v>13</v>
      </c>
      <c r="T46" t="n">
        <v>13</v>
      </c>
      <c r="U46" t="inlineStr">
        <is>
          <t>2002-09-30</t>
        </is>
      </c>
      <c r="V46" t="inlineStr">
        <is>
          <t>2002-09-30</t>
        </is>
      </c>
      <c r="W46" t="inlineStr">
        <is>
          <t>1989-11-20</t>
        </is>
      </c>
      <c r="X46" t="inlineStr">
        <is>
          <t>1989-11-20</t>
        </is>
      </c>
      <c r="Y46" t="n">
        <v>115</v>
      </c>
      <c r="Z46" t="n">
        <v>87</v>
      </c>
      <c r="AA46" t="n">
        <v>184</v>
      </c>
      <c r="AB46" t="n">
        <v>2</v>
      </c>
      <c r="AC46" t="n">
        <v>2</v>
      </c>
      <c r="AD46" t="n">
        <v>3</v>
      </c>
      <c r="AE46" t="n">
        <v>4</v>
      </c>
      <c r="AF46" t="n">
        <v>0</v>
      </c>
      <c r="AG46" t="n">
        <v>0</v>
      </c>
      <c r="AH46" t="n">
        <v>1</v>
      </c>
      <c r="AI46" t="n">
        <v>1</v>
      </c>
      <c r="AJ46" t="n">
        <v>2</v>
      </c>
      <c r="AK46" t="n">
        <v>3</v>
      </c>
      <c r="AL46" t="n">
        <v>1</v>
      </c>
      <c r="AM46" t="n">
        <v>1</v>
      </c>
      <c r="AN46" t="n">
        <v>0</v>
      </c>
      <c r="AO46" t="n">
        <v>0</v>
      </c>
      <c r="AP46" t="inlineStr">
        <is>
          <t>No</t>
        </is>
      </c>
      <c r="AQ46" t="inlineStr">
        <is>
          <t>Yes</t>
        </is>
      </c>
      <c r="AR46">
        <f>HYPERLINK("http://catalog.hathitrust.org/Record/000872187","HathiTrust Record")</f>
        <v/>
      </c>
      <c r="AS46">
        <f>HYPERLINK("https://creighton-primo.hosted.exlibrisgroup.com/primo-explore/search?tab=default_tab&amp;search_scope=EVERYTHING&amp;vid=01CRU&amp;lang=en_US&amp;offset=0&amp;query=any,contains,991001367799702656","Catalog Record")</f>
        <v/>
      </c>
      <c r="AT46">
        <f>HYPERLINK("http://www.worldcat.org/oclc/16092682","WorldCat Record")</f>
        <v/>
      </c>
      <c r="AU46" t="inlineStr">
        <is>
          <t>11806177:eng</t>
        </is>
      </c>
      <c r="AV46" t="inlineStr">
        <is>
          <t>16092682</t>
        </is>
      </c>
      <c r="AW46" t="inlineStr">
        <is>
          <t>991001367799702656</t>
        </is>
      </c>
      <c r="AX46" t="inlineStr">
        <is>
          <t>991001367799702656</t>
        </is>
      </c>
      <c r="AY46" t="inlineStr">
        <is>
          <t>2263274340002656</t>
        </is>
      </c>
      <c r="AZ46" t="inlineStr">
        <is>
          <t>BOOK</t>
        </is>
      </c>
      <c r="BB46" t="inlineStr">
        <is>
          <t>9780803677616</t>
        </is>
      </c>
      <c r="BC46" t="inlineStr">
        <is>
          <t>30001001797374</t>
        </is>
      </c>
      <c r="BD46" t="inlineStr">
        <is>
          <t>893832122</t>
        </is>
      </c>
    </row>
    <row r="47">
      <c r="A47" t="inlineStr">
        <is>
          <t>No</t>
        </is>
      </c>
      <c r="B47" t="inlineStr">
        <is>
          <t>QU 4 S454b 1976</t>
        </is>
      </c>
      <c r="C47" t="inlineStr">
        <is>
          <t>0                      QU 0004000S  454b        1976</t>
        </is>
      </c>
      <c r="D47" t="inlineStr">
        <is>
          <t>Biochemical calculations : how to solve mathematical problems in general biochemistry / Irwin H. Segel.</t>
        </is>
      </c>
      <c r="F47" t="inlineStr">
        <is>
          <t>No</t>
        </is>
      </c>
      <c r="G47" t="inlineStr">
        <is>
          <t>1</t>
        </is>
      </c>
      <c r="H47" t="inlineStr">
        <is>
          <t>No</t>
        </is>
      </c>
      <c r="I47" t="inlineStr">
        <is>
          <t>No</t>
        </is>
      </c>
      <c r="J47" t="inlineStr">
        <is>
          <t>0</t>
        </is>
      </c>
      <c r="K47" t="inlineStr">
        <is>
          <t>Segel, Irwin H., 1935-</t>
        </is>
      </c>
      <c r="L47" t="inlineStr">
        <is>
          <t>New York : Wiley, c1976.</t>
        </is>
      </c>
      <c r="M47" t="inlineStr">
        <is>
          <t>1976</t>
        </is>
      </c>
      <c r="N47" t="inlineStr">
        <is>
          <t>2nd ed.</t>
        </is>
      </c>
      <c r="O47" t="inlineStr">
        <is>
          <t>eng</t>
        </is>
      </c>
      <c r="P47" t="inlineStr">
        <is>
          <t>nyu</t>
        </is>
      </c>
      <c r="R47" t="inlineStr">
        <is>
          <t xml:space="preserve">QU </t>
        </is>
      </c>
      <c r="S47" t="n">
        <v>17</v>
      </c>
      <c r="T47" t="n">
        <v>17</v>
      </c>
      <c r="U47" t="inlineStr">
        <is>
          <t>1998-02-03</t>
        </is>
      </c>
      <c r="V47" t="inlineStr">
        <is>
          <t>1998-02-03</t>
        </is>
      </c>
      <c r="W47" t="inlineStr">
        <is>
          <t>1988-01-26</t>
        </is>
      </c>
      <c r="X47" t="inlineStr">
        <is>
          <t>1988-01-26</t>
        </is>
      </c>
      <c r="Y47" t="n">
        <v>652</v>
      </c>
      <c r="Z47" t="n">
        <v>449</v>
      </c>
      <c r="AA47" t="n">
        <v>613</v>
      </c>
      <c r="AB47" t="n">
        <v>3</v>
      </c>
      <c r="AC47" t="n">
        <v>3</v>
      </c>
      <c r="AD47" t="n">
        <v>15</v>
      </c>
      <c r="AE47" t="n">
        <v>20</v>
      </c>
      <c r="AF47" t="n">
        <v>4</v>
      </c>
      <c r="AG47" t="n">
        <v>7</v>
      </c>
      <c r="AH47" t="n">
        <v>3</v>
      </c>
      <c r="AI47" t="n">
        <v>4</v>
      </c>
      <c r="AJ47" t="n">
        <v>10</v>
      </c>
      <c r="AK47" t="n">
        <v>13</v>
      </c>
      <c r="AL47" t="n">
        <v>2</v>
      </c>
      <c r="AM47" t="n">
        <v>2</v>
      </c>
      <c r="AN47" t="n">
        <v>0</v>
      </c>
      <c r="AO47" t="n">
        <v>0</v>
      </c>
      <c r="AP47" t="inlineStr">
        <is>
          <t>No</t>
        </is>
      </c>
      <c r="AQ47" t="inlineStr">
        <is>
          <t>Yes</t>
        </is>
      </c>
      <c r="AR47">
        <f>HYPERLINK("http://catalog.hathitrust.org/Record/000020603","HathiTrust Record")</f>
        <v/>
      </c>
      <c r="AS47">
        <f>HYPERLINK("https://creighton-primo.hosted.exlibrisgroup.com/primo-explore/search?tab=default_tab&amp;search_scope=EVERYTHING&amp;vid=01CRU&amp;lang=en_US&amp;offset=0&amp;query=any,contains,991000855139702656","Catalog Record")</f>
        <v/>
      </c>
      <c r="AT47">
        <f>HYPERLINK("http://www.worldcat.org/oclc/1531968","WorldCat Record")</f>
        <v/>
      </c>
      <c r="AU47" t="inlineStr">
        <is>
          <t>808608574:eng</t>
        </is>
      </c>
      <c r="AV47" t="inlineStr">
        <is>
          <t>1531968</t>
        </is>
      </c>
      <c r="AW47" t="inlineStr">
        <is>
          <t>991000855139702656</t>
        </is>
      </c>
      <c r="AX47" t="inlineStr">
        <is>
          <t>991000855139702656</t>
        </is>
      </c>
      <c r="AY47" t="inlineStr">
        <is>
          <t>2271868430002656</t>
        </is>
      </c>
      <c r="AZ47" t="inlineStr">
        <is>
          <t>BOOK</t>
        </is>
      </c>
      <c r="BB47" t="inlineStr">
        <is>
          <t>9780471774211</t>
        </is>
      </c>
      <c r="BC47" t="inlineStr">
        <is>
          <t>30001000134868</t>
        </is>
      </c>
      <c r="BD47" t="inlineStr">
        <is>
          <t>893267653</t>
        </is>
      </c>
    </row>
    <row r="48">
      <c r="A48" t="inlineStr">
        <is>
          <t>No</t>
        </is>
      </c>
      <c r="B48" t="inlineStr">
        <is>
          <t>QU 4 S592c 1992</t>
        </is>
      </c>
      <c r="C48" t="inlineStr">
        <is>
          <t>0                      QU 0004000S  592c        1992</t>
        </is>
      </c>
      <c r="D48" t="inlineStr">
        <is>
          <t>Chemistry of biomolecules : an introduction / Richard J. Simmonds.</t>
        </is>
      </c>
      <c r="F48" t="inlineStr">
        <is>
          <t>No</t>
        </is>
      </c>
      <c r="G48" t="inlineStr">
        <is>
          <t>1</t>
        </is>
      </c>
      <c r="H48" t="inlineStr">
        <is>
          <t>No</t>
        </is>
      </c>
      <c r="I48" t="inlineStr">
        <is>
          <t>No</t>
        </is>
      </c>
      <c r="J48" t="inlineStr">
        <is>
          <t>0</t>
        </is>
      </c>
      <c r="K48" t="inlineStr">
        <is>
          <t>Simmonds, Richard J.</t>
        </is>
      </c>
      <c r="L48" t="inlineStr">
        <is>
          <t>Cambridge : Royal Society of Chemistry, c1992.</t>
        </is>
      </c>
      <c r="M48" t="inlineStr">
        <is>
          <t>1992</t>
        </is>
      </c>
      <c r="O48" t="inlineStr">
        <is>
          <t>eng</t>
        </is>
      </c>
      <c r="P48" t="inlineStr">
        <is>
          <t>enk</t>
        </is>
      </c>
      <c r="R48" t="inlineStr">
        <is>
          <t xml:space="preserve">QU </t>
        </is>
      </c>
      <c r="S48" t="n">
        <v>11</v>
      </c>
      <c r="T48" t="n">
        <v>11</v>
      </c>
      <c r="U48" t="inlineStr">
        <is>
          <t>1996-06-08</t>
        </is>
      </c>
      <c r="V48" t="inlineStr">
        <is>
          <t>1996-06-08</t>
        </is>
      </c>
      <c r="W48" t="inlineStr">
        <is>
          <t>1992-08-19</t>
        </is>
      </c>
      <c r="X48" t="inlineStr">
        <is>
          <t>1992-08-19</t>
        </is>
      </c>
      <c r="Y48" t="n">
        <v>274</v>
      </c>
      <c r="Z48" t="n">
        <v>140</v>
      </c>
      <c r="AA48" t="n">
        <v>141</v>
      </c>
      <c r="AB48" t="n">
        <v>1</v>
      </c>
      <c r="AC48" t="n">
        <v>1</v>
      </c>
      <c r="AD48" t="n">
        <v>6</v>
      </c>
      <c r="AE48" t="n">
        <v>6</v>
      </c>
      <c r="AF48" t="n">
        <v>1</v>
      </c>
      <c r="AG48" t="n">
        <v>1</v>
      </c>
      <c r="AH48" t="n">
        <v>3</v>
      </c>
      <c r="AI48" t="n">
        <v>3</v>
      </c>
      <c r="AJ48" t="n">
        <v>2</v>
      </c>
      <c r="AK48" t="n">
        <v>2</v>
      </c>
      <c r="AL48" t="n">
        <v>0</v>
      </c>
      <c r="AM48" t="n">
        <v>0</v>
      </c>
      <c r="AN48" t="n">
        <v>0</v>
      </c>
      <c r="AO48" t="n">
        <v>0</v>
      </c>
      <c r="AP48" t="inlineStr">
        <is>
          <t>No</t>
        </is>
      </c>
      <c r="AQ48" t="inlineStr">
        <is>
          <t>Yes</t>
        </is>
      </c>
      <c r="AR48">
        <f>HYPERLINK("http://catalog.hathitrust.org/Record/002638337","HathiTrust Record")</f>
        <v/>
      </c>
      <c r="AS48">
        <f>HYPERLINK("https://creighton-primo.hosted.exlibrisgroup.com/primo-explore/search?tab=default_tab&amp;search_scope=EVERYTHING&amp;vid=01CRU&amp;lang=en_US&amp;offset=0&amp;query=any,contains,991001340139702656","Catalog Record")</f>
        <v/>
      </c>
      <c r="AT48">
        <f>HYPERLINK("http://www.worldcat.org/oclc/28029183","WorldCat Record")</f>
        <v/>
      </c>
      <c r="AU48" t="inlineStr">
        <is>
          <t>836743839:eng</t>
        </is>
      </c>
      <c r="AV48" t="inlineStr">
        <is>
          <t>28029183</t>
        </is>
      </c>
      <c r="AW48" t="inlineStr">
        <is>
          <t>991001340139702656</t>
        </is>
      </c>
      <c r="AX48" t="inlineStr">
        <is>
          <t>991001340139702656</t>
        </is>
      </c>
      <c r="AY48" t="inlineStr">
        <is>
          <t>2264314280002656</t>
        </is>
      </c>
      <c r="AZ48" t="inlineStr">
        <is>
          <t>BOOK</t>
        </is>
      </c>
      <c r="BB48" t="inlineStr">
        <is>
          <t>9780851868837</t>
        </is>
      </c>
      <c r="BC48" t="inlineStr">
        <is>
          <t>30001002455345</t>
        </is>
      </c>
      <c r="BD48" t="inlineStr">
        <is>
          <t>893364016</t>
        </is>
      </c>
    </row>
    <row r="49">
      <c r="A49" t="inlineStr">
        <is>
          <t>No</t>
        </is>
      </c>
      <c r="B49" t="inlineStr">
        <is>
          <t>QU 4 S727b 1990</t>
        </is>
      </c>
      <c r="C49" t="inlineStr">
        <is>
          <t>0                      QU 0004000S  727b        1990</t>
        </is>
      </c>
      <c r="D49" t="inlineStr">
        <is>
          <t>Biochemistry / William M. Southerland.</t>
        </is>
      </c>
      <c r="F49" t="inlineStr">
        <is>
          <t>No</t>
        </is>
      </c>
      <c r="G49" t="inlineStr">
        <is>
          <t>1</t>
        </is>
      </c>
      <c r="H49" t="inlineStr">
        <is>
          <t>No</t>
        </is>
      </c>
      <c r="I49" t="inlineStr">
        <is>
          <t>No</t>
        </is>
      </c>
      <c r="J49" t="inlineStr">
        <is>
          <t>0</t>
        </is>
      </c>
      <c r="K49" t="inlineStr">
        <is>
          <t>Southerland, William M.</t>
        </is>
      </c>
      <c r="L49" t="inlineStr">
        <is>
          <t>New York : Churchill Livingstone, c1990.</t>
        </is>
      </c>
      <c r="M49" t="inlineStr">
        <is>
          <t>1990</t>
        </is>
      </c>
      <c r="O49" t="inlineStr">
        <is>
          <t>eng</t>
        </is>
      </c>
      <c r="P49" t="inlineStr">
        <is>
          <t>nyu</t>
        </is>
      </c>
      <c r="Q49" t="inlineStr">
        <is>
          <t>Foundations of medicine</t>
        </is>
      </c>
      <c r="R49" t="inlineStr">
        <is>
          <t xml:space="preserve">QU </t>
        </is>
      </c>
      <c r="S49" t="n">
        <v>14</v>
      </c>
      <c r="T49" t="n">
        <v>14</v>
      </c>
      <c r="U49" t="inlineStr">
        <is>
          <t>1995-09-15</t>
        </is>
      </c>
      <c r="V49" t="inlineStr">
        <is>
          <t>1995-09-15</t>
        </is>
      </c>
      <c r="W49" t="inlineStr">
        <is>
          <t>1992-11-18</t>
        </is>
      </c>
      <c r="X49" t="inlineStr">
        <is>
          <t>1992-11-18</t>
        </is>
      </c>
      <c r="Y49" t="n">
        <v>117</v>
      </c>
      <c r="Z49" t="n">
        <v>62</v>
      </c>
      <c r="AA49" t="n">
        <v>69</v>
      </c>
      <c r="AB49" t="n">
        <v>1</v>
      </c>
      <c r="AC49" t="n">
        <v>1</v>
      </c>
      <c r="AD49" t="n">
        <v>1</v>
      </c>
      <c r="AE49" t="n">
        <v>1</v>
      </c>
      <c r="AF49" t="n">
        <v>1</v>
      </c>
      <c r="AG49" t="n">
        <v>1</v>
      </c>
      <c r="AH49" t="n">
        <v>0</v>
      </c>
      <c r="AI49" t="n">
        <v>0</v>
      </c>
      <c r="AJ49" t="n">
        <v>0</v>
      </c>
      <c r="AK49" t="n">
        <v>0</v>
      </c>
      <c r="AL49" t="n">
        <v>0</v>
      </c>
      <c r="AM49" t="n">
        <v>0</v>
      </c>
      <c r="AN49" t="n">
        <v>0</v>
      </c>
      <c r="AO49" t="n">
        <v>0</v>
      </c>
      <c r="AP49" t="inlineStr">
        <is>
          <t>No</t>
        </is>
      </c>
      <c r="AQ49" t="inlineStr">
        <is>
          <t>Yes</t>
        </is>
      </c>
      <c r="AR49">
        <f>HYPERLINK("http://catalog.hathitrust.org/Record/010662068","HathiTrust Record")</f>
        <v/>
      </c>
      <c r="AS49">
        <f>HYPERLINK("https://creighton-primo.hosted.exlibrisgroup.com/primo-explore/search?tab=default_tab&amp;search_scope=EVERYTHING&amp;vid=01CRU&amp;lang=en_US&amp;offset=0&amp;query=any,contains,991001347229702656","Catalog Record")</f>
        <v/>
      </c>
      <c r="AT49">
        <f>HYPERLINK("http://www.worldcat.org/oclc/20131051","WorldCat Record")</f>
        <v/>
      </c>
      <c r="AU49" t="inlineStr">
        <is>
          <t>21631339:eng</t>
        </is>
      </c>
      <c r="AV49" t="inlineStr">
        <is>
          <t>20131051</t>
        </is>
      </c>
      <c r="AW49" t="inlineStr">
        <is>
          <t>991001347229702656</t>
        </is>
      </c>
      <c r="AX49" t="inlineStr">
        <is>
          <t>991001347229702656</t>
        </is>
      </c>
      <c r="AY49" t="inlineStr">
        <is>
          <t>2264166570002656</t>
        </is>
      </c>
      <c r="AZ49" t="inlineStr">
        <is>
          <t>BOOK</t>
        </is>
      </c>
      <c r="BB49" t="inlineStr">
        <is>
          <t>9780443085703</t>
        </is>
      </c>
      <c r="BC49" t="inlineStr">
        <is>
          <t>30001002457796</t>
        </is>
      </c>
      <c r="BD49" t="inlineStr">
        <is>
          <t>893279008</t>
        </is>
      </c>
    </row>
    <row r="50">
      <c r="A50" t="inlineStr">
        <is>
          <t>No</t>
        </is>
      </c>
      <c r="B50" t="inlineStr">
        <is>
          <t>QU 4 S825c 1993</t>
        </is>
      </c>
      <c r="C50" t="inlineStr">
        <is>
          <t>0                      QU 0004000S  825c        1993</t>
        </is>
      </c>
      <c r="D50" t="inlineStr">
        <is>
          <t>Core topics in biochemistry / J. Stenesh.</t>
        </is>
      </c>
      <c r="F50" t="inlineStr">
        <is>
          <t>No</t>
        </is>
      </c>
      <c r="G50" t="inlineStr">
        <is>
          <t>1</t>
        </is>
      </c>
      <c r="H50" t="inlineStr">
        <is>
          <t>No</t>
        </is>
      </c>
      <c r="I50" t="inlineStr">
        <is>
          <t>No</t>
        </is>
      </c>
      <c r="J50" t="inlineStr">
        <is>
          <t>0</t>
        </is>
      </c>
      <c r="K50" t="inlineStr">
        <is>
          <t>Stenesh, J., 1927-</t>
        </is>
      </c>
      <c r="L50" t="inlineStr">
        <is>
          <t>Kalamazoo, Mich. : Cogno Press, c1993.</t>
        </is>
      </c>
      <c r="M50" t="inlineStr">
        <is>
          <t>1993</t>
        </is>
      </c>
      <c r="O50" t="inlineStr">
        <is>
          <t>eng</t>
        </is>
      </c>
      <c r="P50" t="inlineStr">
        <is>
          <t>miu</t>
        </is>
      </c>
      <c r="R50" t="inlineStr">
        <is>
          <t xml:space="preserve">QU </t>
        </is>
      </c>
      <c r="S50" t="n">
        <v>22</v>
      </c>
      <c r="T50" t="n">
        <v>22</v>
      </c>
      <c r="U50" t="inlineStr">
        <is>
          <t>1996-07-24</t>
        </is>
      </c>
      <c r="V50" t="inlineStr">
        <is>
          <t>1996-07-24</t>
        </is>
      </c>
      <c r="W50" t="inlineStr">
        <is>
          <t>1992-12-09</t>
        </is>
      </c>
      <c r="X50" t="inlineStr">
        <is>
          <t>1992-12-09</t>
        </is>
      </c>
      <c r="Y50" t="n">
        <v>144</v>
      </c>
      <c r="Z50" t="n">
        <v>123</v>
      </c>
      <c r="AA50" t="n">
        <v>125</v>
      </c>
      <c r="AB50" t="n">
        <v>2</v>
      </c>
      <c r="AC50" t="n">
        <v>2</v>
      </c>
      <c r="AD50" t="n">
        <v>9</v>
      </c>
      <c r="AE50" t="n">
        <v>9</v>
      </c>
      <c r="AF50" t="n">
        <v>3</v>
      </c>
      <c r="AG50" t="n">
        <v>3</v>
      </c>
      <c r="AH50" t="n">
        <v>1</v>
      </c>
      <c r="AI50" t="n">
        <v>1</v>
      </c>
      <c r="AJ50" t="n">
        <v>5</v>
      </c>
      <c r="AK50" t="n">
        <v>5</v>
      </c>
      <c r="AL50" t="n">
        <v>1</v>
      </c>
      <c r="AM50" t="n">
        <v>1</v>
      </c>
      <c r="AN50" t="n">
        <v>0</v>
      </c>
      <c r="AO50" t="n">
        <v>0</v>
      </c>
      <c r="AP50" t="inlineStr">
        <is>
          <t>No</t>
        </is>
      </c>
      <c r="AQ50" t="inlineStr">
        <is>
          <t>Yes</t>
        </is>
      </c>
      <c r="AR50">
        <f>HYPERLINK("http://catalog.hathitrust.org/Record/002863358","HathiTrust Record")</f>
        <v/>
      </c>
      <c r="AS50">
        <f>HYPERLINK("https://creighton-primo.hosted.exlibrisgroup.com/primo-explore/search?tab=default_tab&amp;search_scope=EVERYTHING&amp;vid=01CRU&amp;lang=en_US&amp;offset=0&amp;query=any,contains,991001348599702656","Catalog Record")</f>
        <v/>
      </c>
      <c r="AT50">
        <f>HYPERLINK("http://www.worldcat.org/oclc/27124370","WorldCat Record")</f>
        <v/>
      </c>
      <c r="AU50" t="inlineStr">
        <is>
          <t>385526:eng</t>
        </is>
      </c>
      <c r="AV50" t="inlineStr">
        <is>
          <t>27124370</t>
        </is>
      </c>
      <c r="AW50" t="inlineStr">
        <is>
          <t>991001348599702656</t>
        </is>
      </c>
      <c r="AX50" t="inlineStr">
        <is>
          <t>991001348599702656</t>
        </is>
      </c>
      <c r="AY50" t="inlineStr">
        <is>
          <t>2263097020002656</t>
        </is>
      </c>
      <c r="AZ50" t="inlineStr">
        <is>
          <t>BOOK</t>
        </is>
      </c>
      <c r="BB50" t="inlineStr">
        <is>
          <t>9780963355201</t>
        </is>
      </c>
      <c r="BC50" t="inlineStr">
        <is>
          <t>30001002458364</t>
        </is>
      </c>
      <c r="BD50" t="inlineStr">
        <is>
          <t>893557870</t>
        </is>
      </c>
    </row>
    <row r="51">
      <c r="A51" t="inlineStr">
        <is>
          <t>No</t>
        </is>
      </c>
      <c r="B51" t="inlineStr">
        <is>
          <t>QU 4 S928b 1995</t>
        </is>
      </c>
      <c r="C51" t="inlineStr">
        <is>
          <t>0                      QU 0004000S  928b        1995</t>
        </is>
      </c>
      <c r="D51" t="inlineStr">
        <is>
          <t>Biochemistry / Lubert Stryer.</t>
        </is>
      </c>
      <c r="F51" t="inlineStr">
        <is>
          <t>No</t>
        </is>
      </c>
      <c r="G51" t="inlineStr">
        <is>
          <t>2</t>
        </is>
      </c>
      <c r="H51" t="inlineStr">
        <is>
          <t>Yes</t>
        </is>
      </c>
      <c r="I51" t="inlineStr">
        <is>
          <t>Yes</t>
        </is>
      </c>
      <c r="J51" t="inlineStr">
        <is>
          <t>1</t>
        </is>
      </c>
      <c r="K51" t="inlineStr">
        <is>
          <t>Stryer, Lubert.</t>
        </is>
      </c>
      <c r="L51" t="inlineStr">
        <is>
          <t>New York : W.H. Freeman, c1995.</t>
        </is>
      </c>
      <c r="M51" t="inlineStr">
        <is>
          <t>1995</t>
        </is>
      </c>
      <c r="N51" t="inlineStr">
        <is>
          <t>4th ed.</t>
        </is>
      </c>
      <c r="O51" t="inlineStr">
        <is>
          <t>eng</t>
        </is>
      </c>
      <c r="P51" t="inlineStr">
        <is>
          <t>nyu</t>
        </is>
      </c>
      <c r="R51" t="inlineStr">
        <is>
          <t xml:space="preserve">QU </t>
        </is>
      </c>
      <c r="S51" t="n">
        <v>126</v>
      </c>
      <c r="T51" t="n">
        <v>316</v>
      </c>
      <c r="U51" t="inlineStr">
        <is>
          <t>2005-08-10</t>
        </is>
      </c>
      <c r="V51" t="inlineStr">
        <is>
          <t>2005-08-10</t>
        </is>
      </c>
      <c r="W51" t="inlineStr">
        <is>
          <t>1999-10-14</t>
        </is>
      </c>
      <c r="X51" t="inlineStr">
        <is>
          <t>1999-10-14</t>
        </is>
      </c>
      <c r="Y51" t="n">
        <v>836</v>
      </c>
      <c r="Z51" t="n">
        <v>544</v>
      </c>
      <c r="AA51" t="n">
        <v>1648</v>
      </c>
      <c r="AB51" t="n">
        <v>2</v>
      </c>
      <c r="AC51" t="n">
        <v>9</v>
      </c>
      <c r="AD51" t="n">
        <v>17</v>
      </c>
      <c r="AE51" t="n">
        <v>46</v>
      </c>
      <c r="AF51" t="n">
        <v>5</v>
      </c>
      <c r="AG51" t="n">
        <v>19</v>
      </c>
      <c r="AH51" t="n">
        <v>7</v>
      </c>
      <c r="AI51" t="n">
        <v>10</v>
      </c>
      <c r="AJ51" t="n">
        <v>8</v>
      </c>
      <c r="AK51" t="n">
        <v>23</v>
      </c>
      <c r="AL51" t="n">
        <v>1</v>
      </c>
      <c r="AM51" t="n">
        <v>6</v>
      </c>
      <c r="AN51" t="n">
        <v>0</v>
      </c>
      <c r="AO51" t="n">
        <v>0</v>
      </c>
      <c r="AP51" t="inlineStr">
        <is>
          <t>No</t>
        </is>
      </c>
      <c r="AQ51" t="inlineStr">
        <is>
          <t>Yes</t>
        </is>
      </c>
      <c r="AR51">
        <f>HYPERLINK("http://catalog.hathitrust.org/Record/002954542","HathiTrust Record")</f>
        <v/>
      </c>
      <c r="AS51">
        <f>HYPERLINK("https://creighton-primo.hosted.exlibrisgroup.com/primo-explore/search?tab=default_tab&amp;search_scope=EVERYTHING&amp;vid=01CRU&amp;lang=en_US&amp;offset=0&amp;query=any,contains,991000797769702656","Catalog Record")</f>
        <v/>
      </c>
      <c r="AT51">
        <f>HYPERLINK("http://www.worldcat.org/oclc/30893133","WorldCat Record")</f>
        <v/>
      </c>
      <c r="AU51" t="inlineStr">
        <is>
          <t>44253451:eng</t>
        </is>
      </c>
      <c r="AV51" t="inlineStr">
        <is>
          <t>30893133</t>
        </is>
      </c>
      <c r="AW51" t="inlineStr">
        <is>
          <t>991000797769702656</t>
        </is>
      </c>
      <c r="AX51" t="inlineStr">
        <is>
          <t>991000797769702656</t>
        </is>
      </c>
      <c r="AY51" t="inlineStr">
        <is>
          <t>2267246870002656</t>
        </is>
      </c>
      <c r="AZ51" t="inlineStr">
        <is>
          <t>BOOK</t>
        </is>
      </c>
      <c r="BB51" t="inlineStr">
        <is>
          <t>9780716720096</t>
        </is>
      </c>
      <c r="BC51" t="inlineStr">
        <is>
          <t>30001004080174</t>
        </is>
      </c>
      <c r="BD51" t="inlineStr">
        <is>
          <t>893834339</t>
        </is>
      </c>
    </row>
    <row r="52">
      <c r="A52" t="inlineStr">
        <is>
          <t>No</t>
        </is>
      </c>
      <c r="B52" t="inlineStr">
        <is>
          <t>QU 4 S928b 1995</t>
        </is>
      </c>
      <c r="C52" t="inlineStr">
        <is>
          <t>0                      QU 0004000S  928b        1995</t>
        </is>
      </c>
      <c r="D52" t="inlineStr">
        <is>
          <t>Biochemistry / Lubert Stryer.</t>
        </is>
      </c>
      <c r="F52" t="inlineStr">
        <is>
          <t>No</t>
        </is>
      </c>
      <c r="G52" t="inlineStr">
        <is>
          <t>1</t>
        </is>
      </c>
      <c r="H52" t="inlineStr">
        <is>
          <t>Yes</t>
        </is>
      </c>
      <c r="I52" t="inlineStr">
        <is>
          <t>Yes</t>
        </is>
      </c>
      <c r="J52" t="inlineStr">
        <is>
          <t>1</t>
        </is>
      </c>
      <c r="K52" t="inlineStr">
        <is>
          <t>Stryer, Lubert.</t>
        </is>
      </c>
      <c r="L52" t="inlineStr">
        <is>
          <t>New York : W.H. Freeman, c1995.</t>
        </is>
      </c>
      <c r="M52" t="inlineStr">
        <is>
          <t>1995</t>
        </is>
      </c>
      <c r="N52" t="inlineStr">
        <is>
          <t>4th ed.</t>
        </is>
      </c>
      <c r="O52" t="inlineStr">
        <is>
          <t>eng</t>
        </is>
      </c>
      <c r="P52" t="inlineStr">
        <is>
          <t>nyu</t>
        </is>
      </c>
      <c r="R52" t="inlineStr">
        <is>
          <t xml:space="preserve">QU </t>
        </is>
      </c>
      <c r="S52" t="n">
        <v>190</v>
      </c>
      <c r="T52" t="n">
        <v>316</v>
      </c>
      <c r="U52" t="inlineStr">
        <is>
          <t>2002-05-23</t>
        </is>
      </c>
      <c r="V52" t="inlineStr">
        <is>
          <t>2005-08-10</t>
        </is>
      </c>
      <c r="W52" t="inlineStr">
        <is>
          <t>1995-06-22</t>
        </is>
      </c>
      <c r="X52" t="inlineStr">
        <is>
          <t>1999-10-14</t>
        </is>
      </c>
      <c r="Y52" t="n">
        <v>836</v>
      </c>
      <c r="Z52" t="n">
        <v>544</v>
      </c>
      <c r="AA52" t="n">
        <v>1648</v>
      </c>
      <c r="AB52" t="n">
        <v>2</v>
      </c>
      <c r="AC52" t="n">
        <v>9</v>
      </c>
      <c r="AD52" t="n">
        <v>17</v>
      </c>
      <c r="AE52" t="n">
        <v>46</v>
      </c>
      <c r="AF52" t="n">
        <v>5</v>
      </c>
      <c r="AG52" t="n">
        <v>19</v>
      </c>
      <c r="AH52" t="n">
        <v>7</v>
      </c>
      <c r="AI52" t="n">
        <v>10</v>
      </c>
      <c r="AJ52" t="n">
        <v>8</v>
      </c>
      <c r="AK52" t="n">
        <v>23</v>
      </c>
      <c r="AL52" t="n">
        <v>1</v>
      </c>
      <c r="AM52" t="n">
        <v>6</v>
      </c>
      <c r="AN52" t="n">
        <v>0</v>
      </c>
      <c r="AO52" t="n">
        <v>0</v>
      </c>
      <c r="AP52" t="inlineStr">
        <is>
          <t>No</t>
        </is>
      </c>
      <c r="AQ52" t="inlineStr">
        <is>
          <t>Yes</t>
        </is>
      </c>
      <c r="AR52">
        <f>HYPERLINK("http://catalog.hathitrust.org/Record/002954542","HathiTrust Record")</f>
        <v/>
      </c>
      <c r="AS52">
        <f>HYPERLINK("https://creighton-primo.hosted.exlibrisgroup.com/primo-explore/search?tab=default_tab&amp;search_scope=EVERYTHING&amp;vid=01CRU&amp;lang=en_US&amp;offset=0&amp;query=any,contains,991000797769702656","Catalog Record")</f>
        <v/>
      </c>
      <c r="AT52">
        <f>HYPERLINK("http://www.worldcat.org/oclc/30893133","WorldCat Record")</f>
        <v/>
      </c>
      <c r="AU52" t="inlineStr">
        <is>
          <t>44253451:eng</t>
        </is>
      </c>
      <c r="AV52" t="inlineStr">
        <is>
          <t>30893133</t>
        </is>
      </c>
      <c r="AW52" t="inlineStr">
        <is>
          <t>991000797769702656</t>
        </is>
      </c>
      <c r="AX52" t="inlineStr">
        <is>
          <t>991000797769702656</t>
        </is>
      </c>
      <c r="AY52" t="inlineStr">
        <is>
          <t>2267246870002656</t>
        </is>
      </c>
      <c r="AZ52" t="inlineStr">
        <is>
          <t>BOOK</t>
        </is>
      </c>
      <c r="BB52" t="inlineStr">
        <is>
          <t>9780716720096</t>
        </is>
      </c>
      <c r="BC52" t="inlineStr">
        <is>
          <t>30001003148394</t>
        </is>
      </c>
      <c r="BD52" t="inlineStr">
        <is>
          <t>893834338</t>
        </is>
      </c>
    </row>
    <row r="53">
      <c r="A53" t="inlineStr">
        <is>
          <t>No</t>
        </is>
      </c>
      <c r="B53" t="inlineStr">
        <is>
          <t>QU4  T355 2002</t>
        </is>
      </c>
      <c r="C53" t="inlineStr">
        <is>
          <t>0                      QU 0004000T  355         2002</t>
        </is>
      </c>
      <c r="D53" t="inlineStr">
        <is>
          <t>Textbook of biochemistry : with clinical correlations / edited by Thomas M. Devlin.</t>
        </is>
      </c>
      <c r="F53" t="inlineStr">
        <is>
          <t>No</t>
        </is>
      </c>
      <c r="G53" t="inlineStr">
        <is>
          <t>1</t>
        </is>
      </c>
      <c r="H53" t="inlineStr">
        <is>
          <t>No</t>
        </is>
      </c>
      <c r="I53" t="inlineStr">
        <is>
          <t>Yes</t>
        </is>
      </c>
      <c r="J53" t="inlineStr">
        <is>
          <t>0</t>
        </is>
      </c>
      <c r="L53" t="inlineStr">
        <is>
          <t>New York : Wiley-Liss, c2002.</t>
        </is>
      </c>
      <c r="M53" t="inlineStr">
        <is>
          <t>2002</t>
        </is>
      </c>
      <c r="N53" t="inlineStr">
        <is>
          <t>5th ed.</t>
        </is>
      </c>
      <c r="O53" t="inlineStr">
        <is>
          <t>eng</t>
        </is>
      </c>
      <c r="P53" t="inlineStr">
        <is>
          <t>nyu</t>
        </is>
      </c>
      <c r="R53" t="inlineStr">
        <is>
          <t xml:space="preserve">QU </t>
        </is>
      </c>
      <c r="S53" t="n">
        <v>4</v>
      </c>
      <c r="T53" t="n">
        <v>4</v>
      </c>
      <c r="U53" t="inlineStr">
        <is>
          <t>2002-10-22</t>
        </is>
      </c>
      <c r="V53" t="inlineStr">
        <is>
          <t>2002-10-22</t>
        </is>
      </c>
      <c r="W53" t="inlineStr">
        <is>
          <t>2002-10-17</t>
        </is>
      </c>
      <c r="X53" t="inlineStr">
        <is>
          <t>2002-10-17</t>
        </is>
      </c>
      <c r="Y53" t="n">
        <v>529</v>
      </c>
      <c r="Z53" t="n">
        <v>348</v>
      </c>
      <c r="AA53" t="n">
        <v>1587</v>
      </c>
      <c r="AB53" t="n">
        <v>3</v>
      </c>
      <c r="AC53" t="n">
        <v>5</v>
      </c>
      <c r="AD53" t="n">
        <v>11</v>
      </c>
      <c r="AE53" t="n">
        <v>37</v>
      </c>
      <c r="AF53" t="n">
        <v>0</v>
      </c>
      <c r="AG53" t="n">
        <v>15</v>
      </c>
      <c r="AH53" t="n">
        <v>3</v>
      </c>
      <c r="AI53" t="n">
        <v>8</v>
      </c>
      <c r="AJ53" t="n">
        <v>7</v>
      </c>
      <c r="AK53" t="n">
        <v>19</v>
      </c>
      <c r="AL53" t="n">
        <v>2</v>
      </c>
      <c r="AM53" t="n">
        <v>4</v>
      </c>
      <c r="AN53" t="n">
        <v>0</v>
      </c>
      <c r="AO53" t="n">
        <v>0</v>
      </c>
      <c r="AP53" t="inlineStr">
        <is>
          <t>No</t>
        </is>
      </c>
      <c r="AQ53" t="inlineStr">
        <is>
          <t>Yes</t>
        </is>
      </c>
      <c r="AR53">
        <f>HYPERLINK("http://catalog.hathitrust.org/Record/004220514","HathiTrust Record")</f>
        <v/>
      </c>
      <c r="AS53">
        <f>HYPERLINK("https://creighton-primo.hosted.exlibrisgroup.com/primo-explore/search?tab=default_tab&amp;search_scope=EVERYTHING&amp;vid=01CRU&amp;lang=en_US&amp;offset=0&amp;query=any,contains,991000331019702656","Catalog Record")</f>
        <v/>
      </c>
      <c r="AT53">
        <f>HYPERLINK("http://www.worldcat.org/oclc/48802226","WorldCat Record")</f>
        <v/>
      </c>
      <c r="AU53" t="inlineStr">
        <is>
          <t>57236856:eng</t>
        </is>
      </c>
      <c r="AV53" t="inlineStr">
        <is>
          <t>48802226</t>
        </is>
      </c>
      <c r="AW53" t="inlineStr">
        <is>
          <t>991000331019702656</t>
        </is>
      </c>
      <c r="AX53" t="inlineStr">
        <is>
          <t>991000331019702656</t>
        </is>
      </c>
      <c r="AY53" t="inlineStr">
        <is>
          <t>2260347020002656</t>
        </is>
      </c>
      <c r="AZ53" t="inlineStr">
        <is>
          <t>BOOK</t>
        </is>
      </c>
      <c r="BB53" t="inlineStr">
        <is>
          <t>9780471411369</t>
        </is>
      </c>
      <c r="BC53" t="inlineStr">
        <is>
          <t>30001004500155</t>
        </is>
      </c>
      <c r="BD53" t="inlineStr">
        <is>
          <t>893537071</t>
        </is>
      </c>
    </row>
    <row r="54">
      <c r="A54" t="inlineStr">
        <is>
          <t>No</t>
        </is>
      </c>
      <c r="B54" t="inlineStr">
        <is>
          <t>QU 4 T675b 1981</t>
        </is>
      </c>
      <c r="C54" t="inlineStr">
        <is>
          <t>0                      QU 0004000T  675b        1981</t>
        </is>
      </c>
      <c r="D54" t="inlineStr">
        <is>
          <t>Basic chemistry of life / Milton Toporek.</t>
        </is>
      </c>
      <c r="F54" t="inlineStr">
        <is>
          <t>No</t>
        </is>
      </c>
      <c r="G54" t="inlineStr">
        <is>
          <t>1</t>
        </is>
      </c>
      <c r="H54" t="inlineStr">
        <is>
          <t>No</t>
        </is>
      </c>
      <c r="I54" t="inlineStr">
        <is>
          <t>Yes</t>
        </is>
      </c>
      <c r="J54" t="inlineStr">
        <is>
          <t>0</t>
        </is>
      </c>
      <c r="K54" t="inlineStr">
        <is>
          <t>Toporek, Milton, 1920-</t>
        </is>
      </c>
      <c r="L54" t="inlineStr">
        <is>
          <t>St. Louis : Mosby, 1981.</t>
        </is>
      </c>
      <c r="M54" t="inlineStr">
        <is>
          <t>1981</t>
        </is>
      </c>
      <c r="O54" t="inlineStr">
        <is>
          <t>eng</t>
        </is>
      </c>
      <c r="P54" t="inlineStr">
        <is>
          <t>xxu</t>
        </is>
      </c>
      <c r="R54" t="inlineStr">
        <is>
          <t xml:space="preserve">QU </t>
        </is>
      </c>
      <c r="S54" t="n">
        <v>12</v>
      </c>
      <c r="T54" t="n">
        <v>12</v>
      </c>
      <c r="U54" t="inlineStr">
        <is>
          <t>1989-03-13</t>
        </is>
      </c>
      <c r="V54" t="inlineStr">
        <is>
          <t>1989-03-13</t>
        </is>
      </c>
      <c r="W54" t="inlineStr">
        <is>
          <t>1988-01-26</t>
        </is>
      </c>
      <c r="X54" t="inlineStr">
        <is>
          <t>1988-01-26</t>
        </is>
      </c>
      <c r="Y54" t="n">
        <v>15</v>
      </c>
      <c r="Z54" t="n">
        <v>14</v>
      </c>
      <c r="AA54" t="n">
        <v>236</v>
      </c>
      <c r="AB54" t="n">
        <v>1</v>
      </c>
      <c r="AC54" t="n">
        <v>3</v>
      </c>
      <c r="AD54" t="n">
        <v>0</v>
      </c>
      <c r="AE54" t="n">
        <v>9</v>
      </c>
      <c r="AF54" t="n">
        <v>0</v>
      </c>
      <c r="AG54" t="n">
        <v>4</v>
      </c>
      <c r="AH54" t="n">
        <v>0</v>
      </c>
      <c r="AI54" t="n">
        <v>0</v>
      </c>
      <c r="AJ54" t="n">
        <v>0</v>
      </c>
      <c r="AK54" t="n">
        <v>6</v>
      </c>
      <c r="AL54" t="n">
        <v>0</v>
      </c>
      <c r="AM54" t="n">
        <v>1</v>
      </c>
      <c r="AN54" t="n">
        <v>0</v>
      </c>
      <c r="AO54" t="n">
        <v>0</v>
      </c>
      <c r="AP54" t="inlineStr">
        <is>
          <t>No</t>
        </is>
      </c>
      <c r="AQ54" t="inlineStr">
        <is>
          <t>No</t>
        </is>
      </c>
      <c r="AS54">
        <f>HYPERLINK("https://creighton-primo.hosted.exlibrisgroup.com/primo-explore/search?tab=default_tab&amp;search_scope=EVERYTHING&amp;vid=01CRU&amp;lang=en_US&amp;offset=0&amp;query=any,contains,991000894449702656","Catalog Record")</f>
        <v/>
      </c>
      <c r="AT54">
        <f>HYPERLINK("http://www.worldcat.org/oclc/6085333","WorldCat Record")</f>
        <v/>
      </c>
      <c r="AU54" t="inlineStr">
        <is>
          <t>1301036:eng</t>
        </is>
      </c>
      <c r="AV54" t="inlineStr">
        <is>
          <t>6085333</t>
        </is>
      </c>
      <c r="AW54" t="inlineStr">
        <is>
          <t>991000894449702656</t>
        </is>
      </c>
      <c r="AX54" t="inlineStr">
        <is>
          <t>991000894449702656</t>
        </is>
      </c>
      <c r="AY54" t="inlineStr">
        <is>
          <t>2260982040002656</t>
        </is>
      </c>
      <c r="AZ54" t="inlineStr">
        <is>
          <t>BOOK</t>
        </is>
      </c>
      <c r="BB54" t="inlineStr">
        <is>
          <t>9780801650024</t>
        </is>
      </c>
      <c r="BC54" t="inlineStr">
        <is>
          <t>30001000155137</t>
        </is>
      </c>
      <c r="BD54" t="inlineStr">
        <is>
          <t>893815874</t>
        </is>
      </c>
    </row>
    <row r="55">
      <c r="A55" t="inlineStr">
        <is>
          <t>No</t>
        </is>
      </c>
      <c r="B55" t="inlineStr">
        <is>
          <t>QU 4 W494ea 1992</t>
        </is>
      </c>
      <c r="C55" t="inlineStr">
        <is>
          <t>0                      QU 0004000W  494ea       1992</t>
        </is>
      </c>
      <c r="D55" t="inlineStr">
        <is>
          <t>Essential biochemistry and molecular biology : a comprehensive review / Rudolf Werner.</t>
        </is>
      </c>
      <c r="F55" t="inlineStr">
        <is>
          <t>No</t>
        </is>
      </c>
      <c r="G55" t="inlineStr">
        <is>
          <t>1</t>
        </is>
      </c>
      <c r="H55" t="inlineStr">
        <is>
          <t>No</t>
        </is>
      </c>
      <c r="I55" t="inlineStr">
        <is>
          <t>No</t>
        </is>
      </c>
      <c r="J55" t="inlineStr">
        <is>
          <t>0</t>
        </is>
      </c>
      <c r="K55" t="inlineStr">
        <is>
          <t>Werner, Rudolf, 1934-</t>
        </is>
      </c>
      <c r="L55" t="inlineStr">
        <is>
          <t>New York : Elsevier, c1992.</t>
        </is>
      </c>
      <c r="M55" t="inlineStr">
        <is>
          <t>1992</t>
        </is>
      </c>
      <c r="N55" t="inlineStr">
        <is>
          <t>2nd ed.</t>
        </is>
      </c>
      <c r="O55" t="inlineStr">
        <is>
          <t>eng</t>
        </is>
      </c>
      <c r="P55" t="inlineStr">
        <is>
          <t>nyu</t>
        </is>
      </c>
      <c r="R55" t="inlineStr">
        <is>
          <t xml:space="preserve">QU </t>
        </is>
      </c>
      <c r="S55" t="n">
        <v>22</v>
      </c>
      <c r="T55" t="n">
        <v>22</v>
      </c>
      <c r="U55" t="inlineStr">
        <is>
          <t>1996-03-20</t>
        </is>
      </c>
      <c r="V55" t="inlineStr">
        <is>
          <t>1996-03-20</t>
        </is>
      </c>
      <c r="W55" t="inlineStr">
        <is>
          <t>1993-12-08</t>
        </is>
      </c>
      <c r="X55" t="inlineStr">
        <is>
          <t>1993-12-08</t>
        </is>
      </c>
      <c r="Y55" t="n">
        <v>122</v>
      </c>
      <c r="Z55" t="n">
        <v>84</v>
      </c>
      <c r="AA55" t="n">
        <v>95</v>
      </c>
      <c r="AB55" t="n">
        <v>2</v>
      </c>
      <c r="AC55" t="n">
        <v>2</v>
      </c>
      <c r="AD55" t="n">
        <v>2</v>
      </c>
      <c r="AE55" t="n">
        <v>3</v>
      </c>
      <c r="AF55" t="n">
        <v>1</v>
      </c>
      <c r="AG55" t="n">
        <v>1</v>
      </c>
      <c r="AH55" t="n">
        <v>0</v>
      </c>
      <c r="AI55" t="n">
        <v>1</v>
      </c>
      <c r="AJ55" t="n">
        <v>1</v>
      </c>
      <c r="AK55" t="n">
        <v>1</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HYPERLINK("https://creighton-primo.hosted.exlibrisgroup.com/primo-explore/search?tab=default_tab&amp;search_scope=EVERYTHING&amp;vid=01CRU&amp;lang=en_US&amp;offset=0&amp;query=any,contains,991000551329702656","Catalog Record")</f>
        <v/>
      </c>
      <c r="AT55">
        <f>HYPERLINK("http://www.worldcat.org/oclc/24467827","WorldCat Record")</f>
        <v/>
      </c>
      <c r="AU55" t="inlineStr">
        <is>
          <t>478996980:eng</t>
        </is>
      </c>
      <c r="AV55" t="inlineStr">
        <is>
          <t>24467827</t>
        </is>
      </c>
      <c r="AW55" t="inlineStr">
        <is>
          <t>991000551329702656</t>
        </is>
      </c>
      <c r="AX55" t="inlineStr">
        <is>
          <t>991000551329702656</t>
        </is>
      </c>
      <c r="AY55" t="inlineStr">
        <is>
          <t>2267001450002656</t>
        </is>
      </c>
      <c r="AZ55" t="inlineStr">
        <is>
          <t>BOOK</t>
        </is>
      </c>
      <c r="BB55" t="inlineStr">
        <is>
          <t>9780444016317</t>
        </is>
      </c>
      <c r="BC55" t="inlineStr">
        <is>
          <t>30001002671388</t>
        </is>
      </c>
      <c r="BD55" t="inlineStr">
        <is>
          <t>893158149</t>
        </is>
      </c>
    </row>
    <row r="56">
      <c r="A56" t="inlineStr">
        <is>
          <t>No</t>
        </is>
      </c>
      <c r="B56" t="inlineStr">
        <is>
          <t>QU 4 W582p 1973</t>
        </is>
      </c>
      <c r="C56" t="inlineStr">
        <is>
          <t>0                      QU 0004000W  582p        1973</t>
        </is>
      </c>
      <c r="D56" t="inlineStr">
        <is>
          <t>Principles of biochemistry / Abraham White, Philip Handler and Emil L. Smith.</t>
        </is>
      </c>
      <c r="F56" t="inlineStr">
        <is>
          <t>No</t>
        </is>
      </c>
      <c r="G56" t="inlineStr">
        <is>
          <t>1</t>
        </is>
      </c>
      <c r="H56" t="inlineStr">
        <is>
          <t>No</t>
        </is>
      </c>
      <c r="I56" t="inlineStr">
        <is>
          <t>Yes</t>
        </is>
      </c>
      <c r="J56" t="inlineStr">
        <is>
          <t>0</t>
        </is>
      </c>
      <c r="K56" t="inlineStr">
        <is>
          <t>White, Abraham, 1908-1980.</t>
        </is>
      </c>
      <c r="L56" t="inlineStr">
        <is>
          <t>New York, McGraw-Hill c1973.</t>
        </is>
      </c>
      <c r="M56" t="inlineStr">
        <is>
          <t>1973</t>
        </is>
      </c>
      <c r="N56" t="inlineStr">
        <is>
          <t>5th ed.</t>
        </is>
      </c>
      <c r="O56" t="inlineStr">
        <is>
          <t>eng</t>
        </is>
      </c>
      <c r="P56" t="inlineStr">
        <is>
          <t>nyu</t>
        </is>
      </c>
      <c r="R56" t="inlineStr">
        <is>
          <t xml:space="preserve">QU </t>
        </is>
      </c>
      <c r="S56" t="n">
        <v>11</v>
      </c>
      <c r="T56" t="n">
        <v>11</v>
      </c>
      <c r="U56" t="inlineStr">
        <is>
          <t>1994-09-15</t>
        </is>
      </c>
      <c r="V56" t="inlineStr">
        <is>
          <t>1994-09-15</t>
        </is>
      </c>
      <c r="W56" t="inlineStr">
        <is>
          <t>1987-09-27</t>
        </is>
      </c>
      <c r="X56" t="inlineStr">
        <is>
          <t>1987-09-27</t>
        </is>
      </c>
      <c r="Y56" t="n">
        <v>465</v>
      </c>
      <c r="Z56" t="n">
        <v>334</v>
      </c>
      <c r="AA56" t="n">
        <v>1012</v>
      </c>
      <c r="AB56" t="n">
        <v>4</v>
      </c>
      <c r="AC56" t="n">
        <v>13</v>
      </c>
      <c r="AD56" t="n">
        <v>10</v>
      </c>
      <c r="AE56" t="n">
        <v>35</v>
      </c>
      <c r="AF56" t="n">
        <v>1</v>
      </c>
      <c r="AG56" t="n">
        <v>10</v>
      </c>
      <c r="AH56" t="n">
        <v>3</v>
      </c>
      <c r="AI56" t="n">
        <v>7</v>
      </c>
      <c r="AJ56" t="n">
        <v>4</v>
      </c>
      <c r="AK56" t="n">
        <v>16</v>
      </c>
      <c r="AL56" t="n">
        <v>2</v>
      </c>
      <c r="AM56" t="n">
        <v>9</v>
      </c>
      <c r="AN56" t="n">
        <v>0</v>
      </c>
      <c r="AO56" t="n">
        <v>0</v>
      </c>
      <c r="AP56" t="inlineStr">
        <is>
          <t>No</t>
        </is>
      </c>
      <c r="AQ56" t="inlineStr">
        <is>
          <t>Yes</t>
        </is>
      </c>
      <c r="AR56">
        <f>HYPERLINK("http://catalog.hathitrust.org/Record/001555273","HathiTrust Record")</f>
        <v/>
      </c>
      <c r="AS56">
        <f>HYPERLINK("https://creighton-primo.hosted.exlibrisgroup.com/primo-explore/search?tab=default_tab&amp;search_scope=EVERYTHING&amp;vid=01CRU&amp;lang=en_US&amp;offset=0&amp;query=any,contains,991000758789702656","Catalog Record")</f>
        <v/>
      </c>
      <c r="AT56">
        <f>HYPERLINK("http://www.worldcat.org/oclc/684228","WorldCat Record")</f>
        <v/>
      </c>
      <c r="AU56" t="inlineStr">
        <is>
          <t>4929126305:eng</t>
        </is>
      </c>
      <c r="AV56" t="inlineStr">
        <is>
          <t>684228</t>
        </is>
      </c>
      <c r="AW56" t="inlineStr">
        <is>
          <t>991000758789702656</t>
        </is>
      </c>
      <c r="AX56" t="inlineStr">
        <is>
          <t>991000758789702656</t>
        </is>
      </c>
      <c r="AY56" t="inlineStr">
        <is>
          <t>2265945860002656</t>
        </is>
      </c>
      <c r="AZ56" t="inlineStr">
        <is>
          <t>BOOK</t>
        </is>
      </c>
      <c r="BB56" t="inlineStr">
        <is>
          <t>9780070697584</t>
        </is>
      </c>
      <c r="BC56" t="inlineStr">
        <is>
          <t>30001000054926</t>
        </is>
      </c>
      <c r="BD56" t="inlineStr">
        <is>
          <t>893648082</t>
        </is>
      </c>
    </row>
    <row r="57">
      <c r="A57" t="inlineStr">
        <is>
          <t>No</t>
        </is>
      </c>
      <c r="B57" t="inlineStr">
        <is>
          <t>QU 4 Z93b 1998</t>
        </is>
      </c>
      <c r="C57" t="inlineStr">
        <is>
          <t>0                      QU 0004000Z  93b         1998</t>
        </is>
      </c>
      <c r="D57" t="inlineStr">
        <is>
          <t>Biochemistry / Geoffrey Zubay.</t>
        </is>
      </c>
      <c r="F57" t="inlineStr">
        <is>
          <t>No</t>
        </is>
      </c>
      <c r="G57" t="inlineStr">
        <is>
          <t>1</t>
        </is>
      </c>
      <c r="H57" t="inlineStr">
        <is>
          <t>No</t>
        </is>
      </c>
      <c r="I57" t="inlineStr">
        <is>
          <t>No</t>
        </is>
      </c>
      <c r="J57" t="inlineStr">
        <is>
          <t>0</t>
        </is>
      </c>
      <c r="K57" t="inlineStr">
        <is>
          <t>Zubay, Geoffrey L.</t>
        </is>
      </c>
      <c r="L57" t="inlineStr">
        <is>
          <t>Dubuque, IA : Wm.C. Brown Publishers, c1998.</t>
        </is>
      </c>
      <c r="M57" t="inlineStr">
        <is>
          <t>1998</t>
        </is>
      </c>
      <c r="N57" t="inlineStr">
        <is>
          <t>4th ed.</t>
        </is>
      </c>
      <c r="O57" t="inlineStr">
        <is>
          <t>eng</t>
        </is>
      </c>
      <c r="P57" t="inlineStr">
        <is>
          <t>iau</t>
        </is>
      </c>
      <c r="R57" t="inlineStr">
        <is>
          <t xml:space="preserve">QU </t>
        </is>
      </c>
      <c r="S57" t="n">
        <v>10</v>
      </c>
      <c r="T57" t="n">
        <v>10</v>
      </c>
      <c r="U57" t="inlineStr">
        <is>
          <t>2003-10-24</t>
        </is>
      </c>
      <c r="V57" t="inlineStr">
        <is>
          <t>2003-10-24</t>
        </is>
      </c>
      <c r="W57" t="inlineStr">
        <is>
          <t>2002-07-26</t>
        </is>
      </c>
      <c r="X57" t="inlineStr">
        <is>
          <t>2002-07-26</t>
        </is>
      </c>
      <c r="Y57" t="n">
        <v>218</v>
      </c>
      <c r="Z57" t="n">
        <v>116</v>
      </c>
      <c r="AA57" t="n">
        <v>462</v>
      </c>
      <c r="AB57" t="n">
        <v>1</v>
      </c>
      <c r="AC57" t="n">
        <v>3</v>
      </c>
      <c r="AD57" t="n">
        <v>2</v>
      </c>
      <c r="AE57" t="n">
        <v>11</v>
      </c>
      <c r="AF57" t="n">
        <v>0</v>
      </c>
      <c r="AG57" t="n">
        <v>2</v>
      </c>
      <c r="AH57" t="n">
        <v>1</v>
      </c>
      <c r="AI57" t="n">
        <v>3</v>
      </c>
      <c r="AJ57" t="n">
        <v>2</v>
      </c>
      <c r="AK57" t="n">
        <v>7</v>
      </c>
      <c r="AL57" t="n">
        <v>0</v>
      </c>
      <c r="AM57" t="n">
        <v>2</v>
      </c>
      <c r="AN57" t="n">
        <v>0</v>
      </c>
      <c r="AO57" t="n">
        <v>0</v>
      </c>
      <c r="AP57" t="inlineStr">
        <is>
          <t>No</t>
        </is>
      </c>
      <c r="AQ57" t="inlineStr">
        <is>
          <t>Yes</t>
        </is>
      </c>
      <c r="AR57">
        <f>HYPERLINK("http://catalog.hathitrust.org/Record/003966004","HathiTrust Record")</f>
        <v/>
      </c>
      <c r="AS57">
        <f>HYPERLINK("https://creighton-primo.hosted.exlibrisgroup.com/primo-explore/search?tab=default_tab&amp;search_scope=EVERYTHING&amp;vid=01CRU&amp;lang=en_US&amp;offset=0&amp;query=any,contains,991000326729702656","Catalog Record")</f>
        <v/>
      </c>
      <c r="AT57">
        <f>HYPERLINK("http://www.worldcat.org/oclc/36785145","WorldCat Record")</f>
        <v/>
      </c>
      <c r="AU57" t="inlineStr">
        <is>
          <t>347999:eng</t>
        </is>
      </c>
      <c r="AV57" t="inlineStr">
        <is>
          <t>36785145</t>
        </is>
      </c>
      <c r="AW57" t="inlineStr">
        <is>
          <t>991000326729702656</t>
        </is>
      </c>
      <c r="AX57" t="inlineStr">
        <is>
          <t>991000326729702656</t>
        </is>
      </c>
      <c r="AY57" t="inlineStr">
        <is>
          <t>2255610950002656</t>
        </is>
      </c>
      <c r="AZ57" t="inlineStr">
        <is>
          <t>BOOK</t>
        </is>
      </c>
      <c r="BB57" t="inlineStr">
        <is>
          <t>9780697219008</t>
        </is>
      </c>
      <c r="BC57" t="inlineStr">
        <is>
          <t>30001004377224</t>
        </is>
      </c>
      <c r="BD57" t="inlineStr">
        <is>
          <t>893274967</t>
        </is>
      </c>
    </row>
    <row r="58">
      <c r="A58" t="inlineStr">
        <is>
          <t>No</t>
        </is>
      </c>
      <c r="B58" t="inlineStr">
        <is>
          <t>QU 11.1 J93e 1979</t>
        </is>
      </c>
      <c r="C58" t="inlineStr">
        <is>
          <t>0                      QU 0011100J  93e         1979</t>
        </is>
      </c>
      <c r="D58" t="inlineStr">
        <is>
          <t>The eighth day of creation : makers of the revolution in biology / by Horace Freeland Judson.</t>
        </is>
      </c>
      <c r="F58" t="inlineStr">
        <is>
          <t>No</t>
        </is>
      </c>
      <c r="G58" t="inlineStr">
        <is>
          <t>1</t>
        </is>
      </c>
      <c r="H58" t="inlineStr">
        <is>
          <t>Yes</t>
        </is>
      </c>
      <c r="I58" t="inlineStr">
        <is>
          <t>No</t>
        </is>
      </c>
      <c r="J58" t="inlineStr">
        <is>
          <t>0</t>
        </is>
      </c>
      <c r="K58" t="inlineStr">
        <is>
          <t>Judson, Horace Freeland.</t>
        </is>
      </c>
      <c r="L58" t="inlineStr">
        <is>
          <t>New York : Simon and Schuster, c1979.</t>
        </is>
      </c>
      <c r="M58" t="inlineStr">
        <is>
          <t>1979</t>
        </is>
      </c>
      <c r="O58" t="inlineStr">
        <is>
          <t>eng</t>
        </is>
      </c>
      <c r="P58" t="inlineStr">
        <is>
          <t>xxu</t>
        </is>
      </c>
      <c r="R58" t="inlineStr">
        <is>
          <t xml:space="preserve">QU </t>
        </is>
      </c>
      <c r="S58" t="n">
        <v>5</v>
      </c>
      <c r="T58" t="n">
        <v>5</v>
      </c>
      <c r="U58" t="inlineStr">
        <is>
          <t>2000-12-27</t>
        </is>
      </c>
      <c r="V58" t="inlineStr">
        <is>
          <t>2000-12-27</t>
        </is>
      </c>
      <c r="W58" t="inlineStr">
        <is>
          <t>1990-08-23</t>
        </is>
      </c>
      <c r="X58" t="inlineStr">
        <is>
          <t>1990-08-23</t>
        </is>
      </c>
      <c r="Y58" t="n">
        <v>1363</v>
      </c>
      <c r="Z58" t="n">
        <v>1245</v>
      </c>
      <c r="AA58" t="n">
        <v>1660</v>
      </c>
      <c r="AB58" t="n">
        <v>6</v>
      </c>
      <c r="AC58" t="n">
        <v>9</v>
      </c>
      <c r="AD58" t="n">
        <v>27</v>
      </c>
      <c r="AE58" t="n">
        <v>45</v>
      </c>
      <c r="AF58" t="n">
        <v>8</v>
      </c>
      <c r="AG58" t="n">
        <v>17</v>
      </c>
      <c r="AH58" t="n">
        <v>7</v>
      </c>
      <c r="AI58" t="n">
        <v>9</v>
      </c>
      <c r="AJ58" t="n">
        <v>14</v>
      </c>
      <c r="AK58" t="n">
        <v>23</v>
      </c>
      <c r="AL58" t="n">
        <v>3</v>
      </c>
      <c r="AM58" t="n">
        <v>6</v>
      </c>
      <c r="AN58" t="n">
        <v>0</v>
      </c>
      <c r="AO58" t="n">
        <v>1</v>
      </c>
      <c r="AP58" t="inlineStr">
        <is>
          <t>No</t>
        </is>
      </c>
      <c r="AQ58" t="inlineStr">
        <is>
          <t>Yes</t>
        </is>
      </c>
      <c r="AR58">
        <f>HYPERLINK("http://catalog.hathitrust.org/Record/000024060","HathiTrust Record")</f>
        <v/>
      </c>
      <c r="AS58">
        <f>HYPERLINK("https://creighton-primo.hosted.exlibrisgroup.com/primo-explore/search?tab=default_tab&amp;search_scope=EVERYTHING&amp;vid=01CRU&amp;lang=en_US&amp;offset=0&amp;query=any,contains,991000894089702656","Catalog Record")</f>
        <v/>
      </c>
      <c r="AT58">
        <f>HYPERLINK("http://www.worldcat.org/oclc/4497375","WorldCat Record")</f>
        <v/>
      </c>
      <c r="AU58" t="inlineStr">
        <is>
          <t>516870:eng</t>
        </is>
      </c>
      <c r="AV58" t="inlineStr">
        <is>
          <t>4497375</t>
        </is>
      </c>
      <c r="AW58" t="inlineStr">
        <is>
          <t>991000894089702656</t>
        </is>
      </c>
      <c r="AX58" t="inlineStr">
        <is>
          <t>991000894089702656</t>
        </is>
      </c>
      <c r="AY58" t="inlineStr">
        <is>
          <t>2255581150002656</t>
        </is>
      </c>
      <c r="AZ58" t="inlineStr">
        <is>
          <t>BOOK</t>
        </is>
      </c>
      <c r="BB58" t="inlineStr">
        <is>
          <t>9780671225407</t>
        </is>
      </c>
      <c r="BC58" t="inlineStr">
        <is>
          <t>30001000155053</t>
        </is>
      </c>
      <c r="BD58" t="inlineStr">
        <is>
          <t>893467706</t>
        </is>
      </c>
    </row>
    <row r="59">
      <c r="A59" t="inlineStr">
        <is>
          <t>No</t>
        </is>
      </c>
      <c r="B59" t="inlineStr">
        <is>
          <t>QU 11.1 T262d 1992</t>
        </is>
      </c>
      <c r="C59" t="inlineStr">
        <is>
          <t>0                      QU 0011100T  262d        1992</t>
        </is>
      </c>
      <c r="D59" t="inlineStr">
        <is>
          <t>A documentary history of biochemistry, 1770-1940 / Mikuláš Teich with Dorothy M. Needham.</t>
        </is>
      </c>
      <c r="F59" t="inlineStr">
        <is>
          <t>No</t>
        </is>
      </c>
      <c r="G59" t="inlineStr">
        <is>
          <t>1</t>
        </is>
      </c>
      <c r="H59" t="inlineStr">
        <is>
          <t>No</t>
        </is>
      </c>
      <c r="I59" t="inlineStr">
        <is>
          <t>No</t>
        </is>
      </c>
      <c r="J59" t="inlineStr">
        <is>
          <t>0</t>
        </is>
      </c>
      <c r="K59" t="inlineStr">
        <is>
          <t>Teich, Mikuláš.</t>
        </is>
      </c>
      <c r="L59" t="inlineStr">
        <is>
          <t>Rutherford [N.J.] : Fairleigh Dickinson University Press, c1992.</t>
        </is>
      </c>
      <c r="M59" t="inlineStr">
        <is>
          <t>1992</t>
        </is>
      </c>
      <c r="O59" t="inlineStr">
        <is>
          <t>eng</t>
        </is>
      </c>
      <c r="P59" t="inlineStr">
        <is>
          <t>nju</t>
        </is>
      </c>
      <c r="R59" t="inlineStr">
        <is>
          <t xml:space="preserve">QU </t>
        </is>
      </c>
      <c r="S59" t="n">
        <v>12</v>
      </c>
      <c r="T59" t="n">
        <v>12</v>
      </c>
      <c r="U59" t="inlineStr">
        <is>
          <t>2000-12-27</t>
        </is>
      </c>
      <c r="V59" t="inlineStr">
        <is>
          <t>2000-12-27</t>
        </is>
      </c>
      <c r="W59" t="inlineStr">
        <is>
          <t>1992-08-31</t>
        </is>
      </c>
      <c r="X59" t="inlineStr">
        <is>
          <t>1992-08-31</t>
        </is>
      </c>
      <c r="Y59" t="n">
        <v>256</v>
      </c>
      <c r="Z59" t="n">
        <v>222</v>
      </c>
      <c r="AA59" t="n">
        <v>229</v>
      </c>
      <c r="AB59" t="n">
        <v>2</v>
      </c>
      <c r="AC59" t="n">
        <v>2</v>
      </c>
      <c r="AD59" t="n">
        <v>9</v>
      </c>
      <c r="AE59" t="n">
        <v>9</v>
      </c>
      <c r="AF59" t="n">
        <v>4</v>
      </c>
      <c r="AG59" t="n">
        <v>4</v>
      </c>
      <c r="AH59" t="n">
        <v>1</v>
      </c>
      <c r="AI59" t="n">
        <v>1</v>
      </c>
      <c r="AJ59" t="n">
        <v>6</v>
      </c>
      <c r="AK59" t="n">
        <v>6</v>
      </c>
      <c r="AL59" t="n">
        <v>1</v>
      </c>
      <c r="AM59" t="n">
        <v>1</v>
      </c>
      <c r="AN59" t="n">
        <v>0</v>
      </c>
      <c r="AO59" t="n">
        <v>0</v>
      </c>
      <c r="AP59" t="inlineStr">
        <is>
          <t>No</t>
        </is>
      </c>
      <c r="AQ59" t="inlineStr">
        <is>
          <t>Yes</t>
        </is>
      </c>
      <c r="AR59">
        <f>HYPERLINK("http://catalog.hathitrust.org/Record/002536493","HathiTrust Record")</f>
        <v/>
      </c>
      <c r="AS59">
        <f>HYPERLINK("https://creighton-primo.hosted.exlibrisgroup.com/primo-explore/search?tab=default_tab&amp;search_scope=EVERYTHING&amp;vid=01CRU&amp;lang=en_US&amp;offset=0&amp;query=any,contains,991001341359702656","Catalog Record")</f>
        <v/>
      </c>
      <c r="AT59">
        <f>HYPERLINK("http://www.worldcat.org/oclc/24545758","WorldCat Record")</f>
        <v/>
      </c>
      <c r="AU59" t="inlineStr">
        <is>
          <t>30106094:eng</t>
        </is>
      </c>
      <c r="AV59" t="inlineStr">
        <is>
          <t>24545758</t>
        </is>
      </c>
      <c r="AW59" t="inlineStr">
        <is>
          <t>991001341359702656</t>
        </is>
      </c>
      <c r="AX59" t="inlineStr">
        <is>
          <t>991001341359702656</t>
        </is>
      </c>
      <c r="AY59" t="inlineStr">
        <is>
          <t>2264544920002656</t>
        </is>
      </c>
      <c r="AZ59" t="inlineStr">
        <is>
          <t>BOOK</t>
        </is>
      </c>
      <c r="BB59" t="inlineStr">
        <is>
          <t>9780838634875</t>
        </is>
      </c>
      <c r="BC59" t="inlineStr">
        <is>
          <t>30001002455899</t>
        </is>
      </c>
      <c r="BD59" t="inlineStr">
        <is>
          <t>893369321</t>
        </is>
      </c>
    </row>
    <row r="60">
      <c r="A60" t="inlineStr">
        <is>
          <t>No</t>
        </is>
      </c>
      <c r="B60" t="inlineStr">
        <is>
          <t>QU 13 B864 1988</t>
        </is>
      </c>
      <c r="C60" t="inlineStr">
        <is>
          <t>0                      QU 0013000B  864         1988</t>
        </is>
      </c>
      <c r="D60" t="inlineStr">
        <is>
          <t>Concise encyclopedia biochemistry.</t>
        </is>
      </c>
      <c r="F60" t="inlineStr">
        <is>
          <t>No</t>
        </is>
      </c>
      <c r="G60" t="inlineStr">
        <is>
          <t>1</t>
        </is>
      </c>
      <c r="H60" t="inlineStr">
        <is>
          <t>No</t>
        </is>
      </c>
      <c r="I60" t="inlineStr">
        <is>
          <t>No</t>
        </is>
      </c>
      <c r="J60" t="inlineStr">
        <is>
          <t>0</t>
        </is>
      </c>
      <c r="K60" t="inlineStr">
        <is>
          <t>Brockhaus ABC Biochemie. English.</t>
        </is>
      </c>
      <c r="L60" t="inlineStr">
        <is>
          <t>Berlin ; New York : De Gruyter, c1988.</t>
        </is>
      </c>
      <c r="M60" t="inlineStr">
        <is>
          <t>1988</t>
        </is>
      </c>
      <c r="N60" t="inlineStr">
        <is>
          <t>English language ed., 2nd ed. / revised and expanded by Thomas Scott and Mary Eagleson.</t>
        </is>
      </c>
      <c r="O60" t="inlineStr">
        <is>
          <t>eng</t>
        </is>
      </c>
      <c r="P60" t="inlineStr">
        <is>
          <t xml:space="preserve">gw </t>
        </is>
      </c>
      <c r="R60" t="inlineStr">
        <is>
          <t xml:space="preserve">QU </t>
        </is>
      </c>
      <c r="S60" t="n">
        <v>8</v>
      </c>
      <c r="T60" t="n">
        <v>8</v>
      </c>
      <c r="U60" t="inlineStr">
        <is>
          <t>1988-08-16</t>
        </is>
      </c>
      <c r="V60" t="inlineStr">
        <is>
          <t>1988-08-16</t>
        </is>
      </c>
      <c r="W60" t="inlineStr">
        <is>
          <t>1988-07-21</t>
        </is>
      </c>
      <c r="X60" t="inlineStr">
        <is>
          <t>1988-07-21</t>
        </is>
      </c>
      <c r="Y60" t="n">
        <v>524</v>
      </c>
      <c r="Z60" t="n">
        <v>385</v>
      </c>
      <c r="AA60" t="n">
        <v>681</v>
      </c>
      <c r="AB60" t="n">
        <v>4</v>
      </c>
      <c r="AC60" t="n">
        <v>5</v>
      </c>
      <c r="AD60" t="n">
        <v>15</v>
      </c>
      <c r="AE60" t="n">
        <v>22</v>
      </c>
      <c r="AF60" t="n">
        <v>1</v>
      </c>
      <c r="AG60" t="n">
        <v>6</v>
      </c>
      <c r="AH60" t="n">
        <v>4</v>
      </c>
      <c r="AI60" t="n">
        <v>4</v>
      </c>
      <c r="AJ60" t="n">
        <v>11</v>
      </c>
      <c r="AK60" t="n">
        <v>14</v>
      </c>
      <c r="AL60" t="n">
        <v>2</v>
      </c>
      <c r="AM60" t="n">
        <v>3</v>
      </c>
      <c r="AN60" t="n">
        <v>0</v>
      </c>
      <c r="AO60" t="n">
        <v>0</v>
      </c>
      <c r="AP60" t="inlineStr">
        <is>
          <t>No</t>
        </is>
      </c>
      <c r="AQ60" t="inlineStr">
        <is>
          <t>Yes</t>
        </is>
      </c>
      <c r="AR60">
        <f>HYPERLINK("http://catalog.hathitrust.org/Record/000947119","HathiTrust Record")</f>
        <v/>
      </c>
      <c r="AS60">
        <f>HYPERLINK("https://creighton-primo.hosted.exlibrisgroup.com/primo-explore/search?tab=default_tab&amp;search_scope=EVERYTHING&amp;vid=01CRU&amp;lang=en_US&amp;offset=0&amp;query=any,contains,991001418959702656","Catalog Record")</f>
        <v/>
      </c>
      <c r="AT60">
        <f>HYPERLINK("http://www.worldcat.org/oclc/17677472","WorldCat Record")</f>
        <v/>
      </c>
      <c r="AU60" t="inlineStr">
        <is>
          <t>1909289141:eng</t>
        </is>
      </c>
      <c r="AV60" t="inlineStr">
        <is>
          <t>17677472</t>
        </is>
      </c>
      <c r="AW60" t="inlineStr">
        <is>
          <t>991001418959702656</t>
        </is>
      </c>
      <c r="AX60" t="inlineStr">
        <is>
          <t>991001418959702656</t>
        </is>
      </c>
      <c r="AY60" t="inlineStr">
        <is>
          <t>2259918880002656</t>
        </is>
      </c>
      <c r="AZ60" t="inlineStr">
        <is>
          <t>BOOK</t>
        </is>
      </c>
      <c r="BB60" t="inlineStr">
        <is>
          <t>9780899254579</t>
        </is>
      </c>
      <c r="BC60" t="inlineStr">
        <is>
          <t>30001001181645</t>
        </is>
      </c>
      <c r="BD60" t="inlineStr">
        <is>
          <t>893268485</t>
        </is>
      </c>
    </row>
    <row r="61">
      <c r="A61" t="inlineStr">
        <is>
          <t>No</t>
        </is>
      </c>
      <c r="B61" t="inlineStr">
        <is>
          <t>QU 13 F686 1994</t>
        </is>
      </c>
      <c r="C61" t="inlineStr">
        <is>
          <t>0                      QU 0013000F  686         1994</t>
        </is>
      </c>
      <c r="D61" t="inlineStr">
        <is>
          <t>Foods &amp; nutrition encyclopedia / Audrey H. Ensminger ... [et al.].</t>
        </is>
      </c>
      <c r="E61" t="inlineStr">
        <is>
          <t>V. 2</t>
        </is>
      </c>
      <c r="F61" t="inlineStr">
        <is>
          <t>Yes</t>
        </is>
      </c>
      <c r="G61" t="inlineStr">
        <is>
          <t>1</t>
        </is>
      </c>
      <c r="H61" t="inlineStr">
        <is>
          <t>No</t>
        </is>
      </c>
      <c r="I61" t="inlineStr">
        <is>
          <t>No</t>
        </is>
      </c>
      <c r="J61" t="inlineStr">
        <is>
          <t>0</t>
        </is>
      </c>
      <c r="L61" t="inlineStr">
        <is>
          <t>Boca Raton : CRC Press, c1994.</t>
        </is>
      </c>
      <c r="M61" t="inlineStr">
        <is>
          <t>1994</t>
        </is>
      </c>
      <c r="N61" t="inlineStr">
        <is>
          <t>2nd ed.</t>
        </is>
      </c>
      <c r="O61" t="inlineStr">
        <is>
          <t>eng</t>
        </is>
      </c>
      <c r="P61" t="inlineStr">
        <is>
          <t>flu</t>
        </is>
      </c>
      <c r="R61" t="inlineStr">
        <is>
          <t xml:space="preserve">QU </t>
        </is>
      </c>
      <c r="S61" t="n">
        <v>15</v>
      </c>
      <c r="T61" t="n">
        <v>26</v>
      </c>
      <c r="U61" t="inlineStr">
        <is>
          <t>1993-12-01</t>
        </is>
      </c>
      <c r="V61" t="inlineStr">
        <is>
          <t>1993-12-01</t>
        </is>
      </c>
      <c r="W61" t="inlineStr">
        <is>
          <t>1993-10-25</t>
        </is>
      </c>
      <c r="X61" t="inlineStr">
        <is>
          <t>1993-10-25</t>
        </is>
      </c>
      <c r="Y61" t="n">
        <v>631</v>
      </c>
      <c r="Z61" t="n">
        <v>523</v>
      </c>
      <c r="AA61" t="n">
        <v>1025</v>
      </c>
      <c r="AB61" t="n">
        <v>2</v>
      </c>
      <c r="AC61" t="n">
        <v>7</v>
      </c>
      <c r="AD61" t="n">
        <v>11</v>
      </c>
      <c r="AE61" t="n">
        <v>21</v>
      </c>
      <c r="AF61" t="n">
        <v>4</v>
      </c>
      <c r="AG61" t="n">
        <v>10</v>
      </c>
      <c r="AH61" t="n">
        <v>1</v>
      </c>
      <c r="AI61" t="n">
        <v>3</v>
      </c>
      <c r="AJ61" t="n">
        <v>7</v>
      </c>
      <c r="AK61" t="n">
        <v>9</v>
      </c>
      <c r="AL61" t="n">
        <v>1</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HYPERLINK("https://creighton-primo.hosted.exlibrisgroup.com/primo-explore/search?tab=default_tab&amp;search_scope=EVERYTHING&amp;vid=01CRU&amp;lang=en_US&amp;offset=0&amp;query=any,contains,991001488419702656","Catalog Record")</f>
        <v/>
      </c>
      <c r="AT61">
        <f>HYPERLINK("http://www.worldcat.org/oclc/28963802","WorldCat Record")</f>
        <v/>
      </c>
      <c r="AU61" t="inlineStr">
        <is>
          <t>5481784818:eng</t>
        </is>
      </c>
      <c r="AV61" t="inlineStr">
        <is>
          <t>28963802</t>
        </is>
      </c>
      <c r="AW61" t="inlineStr">
        <is>
          <t>991001488419702656</t>
        </is>
      </c>
      <c r="AX61" t="inlineStr">
        <is>
          <t>991001488419702656</t>
        </is>
      </c>
      <c r="AY61" t="inlineStr">
        <is>
          <t>2255074100002656</t>
        </is>
      </c>
      <c r="AZ61" t="inlineStr">
        <is>
          <t>BOOK</t>
        </is>
      </c>
      <c r="BB61" t="inlineStr">
        <is>
          <t>9780849389801</t>
        </is>
      </c>
      <c r="BC61" t="inlineStr">
        <is>
          <t>30001002580001</t>
        </is>
      </c>
      <c r="BD61" t="inlineStr">
        <is>
          <t>893121546</t>
        </is>
      </c>
    </row>
    <row r="62">
      <c r="A62" t="inlineStr">
        <is>
          <t>No</t>
        </is>
      </c>
      <c r="B62" t="inlineStr">
        <is>
          <t>QU 13 F686 1994</t>
        </is>
      </c>
      <c r="C62" t="inlineStr">
        <is>
          <t>0                      QU 0013000F  686         1994</t>
        </is>
      </c>
      <c r="D62" t="inlineStr">
        <is>
          <t>Foods &amp; nutrition encyclopedia / Audrey H. Ensminger ... [et al.].</t>
        </is>
      </c>
      <c r="E62" t="inlineStr">
        <is>
          <t>V. 1</t>
        </is>
      </c>
      <c r="F62" t="inlineStr">
        <is>
          <t>Yes</t>
        </is>
      </c>
      <c r="G62" t="inlineStr">
        <is>
          <t>1</t>
        </is>
      </c>
      <c r="H62" t="inlineStr">
        <is>
          <t>No</t>
        </is>
      </c>
      <c r="I62" t="inlineStr">
        <is>
          <t>No</t>
        </is>
      </c>
      <c r="J62" t="inlineStr">
        <is>
          <t>0</t>
        </is>
      </c>
      <c r="L62" t="inlineStr">
        <is>
          <t>Boca Raton : CRC Press, c1994.</t>
        </is>
      </c>
      <c r="M62" t="inlineStr">
        <is>
          <t>1994</t>
        </is>
      </c>
      <c r="N62" t="inlineStr">
        <is>
          <t>2nd ed.</t>
        </is>
      </c>
      <c r="O62" t="inlineStr">
        <is>
          <t>eng</t>
        </is>
      </c>
      <c r="P62" t="inlineStr">
        <is>
          <t>flu</t>
        </is>
      </c>
      <c r="R62" t="inlineStr">
        <is>
          <t xml:space="preserve">QU </t>
        </is>
      </c>
      <c r="S62" t="n">
        <v>11</v>
      </c>
      <c r="T62" t="n">
        <v>26</v>
      </c>
      <c r="U62" t="inlineStr">
        <is>
          <t>1993-12-01</t>
        </is>
      </c>
      <c r="V62" t="inlineStr">
        <is>
          <t>1993-12-01</t>
        </is>
      </c>
      <c r="W62" t="inlineStr">
        <is>
          <t>1993-10-25</t>
        </is>
      </c>
      <c r="X62" t="inlineStr">
        <is>
          <t>1993-10-25</t>
        </is>
      </c>
      <c r="Y62" t="n">
        <v>631</v>
      </c>
      <c r="Z62" t="n">
        <v>523</v>
      </c>
      <c r="AA62" t="n">
        <v>1025</v>
      </c>
      <c r="AB62" t="n">
        <v>2</v>
      </c>
      <c r="AC62" t="n">
        <v>7</v>
      </c>
      <c r="AD62" t="n">
        <v>11</v>
      </c>
      <c r="AE62" t="n">
        <v>21</v>
      </c>
      <c r="AF62" t="n">
        <v>4</v>
      </c>
      <c r="AG62" t="n">
        <v>10</v>
      </c>
      <c r="AH62" t="n">
        <v>1</v>
      </c>
      <c r="AI62" t="n">
        <v>3</v>
      </c>
      <c r="AJ62" t="n">
        <v>7</v>
      </c>
      <c r="AK62" t="n">
        <v>9</v>
      </c>
      <c r="AL62" t="n">
        <v>1</v>
      </c>
      <c r="AM62" t="n">
        <v>3</v>
      </c>
      <c r="AN62" t="n">
        <v>0</v>
      </c>
      <c r="AO62" t="n">
        <v>0</v>
      </c>
      <c r="AP62" t="inlineStr">
        <is>
          <t>No</t>
        </is>
      </c>
      <c r="AQ62" t="inlineStr">
        <is>
          <t>No</t>
        </is>
      </c>
      <c r="AS62">
        <f>HYPERLINK("https://creighton-primo.hosted.exlibrisgroup.com/primo-explore/search?tab=default_tab&amp;search_scope=EVERYTHING&amp;vid=01CRU&amp;lang=en_US&amp;offset=0&amp;query=any,contains,991001488419702656","Catalog Record")</f>
        <v/>
      </c>
      <c r="AT62">
        <f>HYPERLINK("http://www.worldcat.org/oclc/28963802","WorldCat Record")</f>
        <v/>
      </c>
      <c r="AU62" t="inlineStr">
        <is>
          <t>5481784818:eng</t>
        </is>
      </c>
      <c r="AV62" t="inlineStr">
        <is>
          <t>28963802</t>
        </is>
      </c>
      <c r="AW62" t="inlineStr">
        <is>
          <t>991001488419702656</t>
        </is>
      </c>
      <c r="AX62" t="inlineStr">
        <is>
          <t>991001488419702656</t>
        </is>
      </c>
      <c r="AY62" t="inlineStr">
        <is>
          <t>2255074100002656</t>
        </is>
      </c>
      <c r="AZ62" t="inlineStr">
        <is>
          <t>BOOK</t>
        </is>
      </c>
      <c r="BB62" t="inlineStr">
        <is>
          <t>9780849389801</t>
        </is>
      </c>
      <c r="BC62" t="inlineStr">
        <is>
          <t>30001002579987</t>
        </is>
      </c>
      <c r="BD62" t="inlineStr">
        <is>
          <t>893162075</t>
        </is>
      </c>
    </row>
    <row r="63">
      <c r="A63" t="inlineStr">
        <is>
          <t>No</t>
        </is>
      </c>
      <c r="B63" t="inlineStr">
        <is>
          <t>QU 13 S825d 1989</t>
        </is>
      </c>
      <c r="C63" t="inlineStr">
        <is>
          <t>0                      QU 0013000S  825d        1989</t>
        </is>
      </c>
      <c r="D63" t="inlineStr">
        <is>
          <t>Dictionary of biochemistry and molecular biology / J. Stenesh.</t>
        </is>
      </c>
      <c r="F63" t="inlineStr">
        <is>
          <t>No</t>
        </is>
      </c>
      <c r="G63" t="inlineStr">
        <is>
          <t>1</t>
        </is>
      </c>
      <c r="H63" t="inlineStr">
        <is>
          <t>Yes</t>
        </is>
      </c>
      <c r="I63" t="inlineStr">
        <is>
          <t>No</t>
        </is>
      </c>
      <c r="J63" t="inlineStr">
        <is>
          <t>0</t>
        </is>
      </c>
      <c r="K63" t="inlineStr">
        <is>
          <t>Stenesh, J., 1927-</t>
        </is>
      </c>
      <c r="L63" t="inlineStr">
        <is>
          <t>New York : Wiley, c1989.</t>
        </is>
      </c>
      <c r="M63" t="inlineStr">
        <is>
          <t>1989</t>
        </is>
      </c>
      <c r="N63" t="inlineStr">
        <is>
          <t>2nd ed.</t>
        </is>
      </c>
      <c r="O63" t="inlineStr">
        <is>
          <t>eng</t>
        </is>
      </c>
      <c r="P63" t="inlineStr">
        <is>
          <t>xxu</t>
        </is>
      </c>
      <c r="R63" t="inlineStr">
        <is>
          <t xml:space="preserve">QU </t>
        </is>
      </c>
      <c r="S63" t="n">
        <v>2</v>
      </c>
      <c r="T63" t="n">
        <v>2</v>
      </c>
      <c r="U63" t="inlineStr">
        <is>
          <t>1991-06-27</t>
        </is>
      </c>
      <c r="V63" t="inlineStr">
        <is>
          <t>1991-06-27</t>
        </is>
      </c>
      <c r="W63" t="inlineStr">
        <is>
          <t>1991-06-27</t>
        </is>
      </c>
      <c r="X63" t="inlineStr">
        <is>
          <t>1991-06-27</t>
        </is>
      </c>
      <c r="Y63" t="n">
        <v>525</v>
      </c>
      <c r="Z63" t="n">
        <v>388</v>
      </c>
      <c r="AA63" t="n">
        <v>468</v>
      </c>
      <c r="AB63" t="n">
        <v>4</v>
      </c>
      <c r="AC63" t="n">
        <v>4</v>
      </c>
      <c r="AD63" t="n">
        <v>12</v>
      </c>
      <c r="AE63" t="n">
        <v>15</v>
      </c>
      <c r="AF63" t="n">
        <v>3</v>
      </c>
      <c r="AG63" t="n">
        <v>4</v>
      </c>
      <c r="AH63" t="n">
        <v>4</v>
      </c>
      <c r="AI63" t="n">
        <v>5</v>
      </c>
      <c r="AJ63" t="n">
        <v>7</v>
      </c>
      <c r="AK63" t="n">
        <v>8</v>
      </c>
      <c r="AL63" t="n">
        <v>1</v>
      </c>
      <c r="AM63" t="n">
        <v>1</v>
      </c>
      <c r="AN63" t="n">
        <v>0</v>
      </c>
      <c r="AO63" t="n">
        <v>0</v>
      </c>
      <c r="AP63" t="inlineStr">
        <is>
          <t>No</t>
        </is>
      </c>
      <c r="AQ63" t="inlineStr">
        <is>
          <t>Yes</t>
        </is>
      </c>
      <c r="AR63">
        <f>HYPERLINK("http://catalog.hathitrust.org/Record/001818590","HathiTrust Record")</f>
        <v/>
      </c>
      <c r="AS63">
        <f>HYPERLINK("https://creighton-primo.hosted.exlibrisgroup.com/primo-explore/search?tab=default_tab&amp;search_scope=EVERYTHING&amp;vid=01CRU&amp;lang=en_US&amp;offset=0&amp;query=any,contains,991000940579702656","Catalog Record")</f>
        <v/>
      </c>
      <c r="AT63">
        <f>HYPERLINK("http://www.worldcat.org/oclc/18988409","WorldCat Record")</f>
        <v/>
      </c>
      <c r="AU63" t="inlineStr">
        <is>
          <t>17089173:eng</t>
        </is>
      </c>
      <c r="AV63" t="inlineStr">
        <is>
          <t>18988409</t>
        </is>
      </c>
      <c r="AW63" t="inlineStr">
        <is>
          <t>991000940579702656</t>
        </is>
      </c>
      <c r="AX63" t="inlineStr">
        <is>
          <t>991000940579702656</t>
        </is>
      </c>
      <c r="AY63" t="inlineStr">
        <is>
          <t>2257914980002656</t>
        </is>
      </c>
      <c r="AZ63" t="inlineStr">
        <is>
          <t>BOOK</t>
        </is>
      </c>
      <c r="BB63" t="inlineStr">
        <is>
          <t>9780471840893</t>
        </is>
      </c>
      <c r="BC63" t="inlineStr">
        <is>
          <t>30001002192526</t>
        </is>
      </c>
      <c r="BD63" t="inlineStr">
        <is>
          <t>893831765</t>
        </is>
      </c>
    </row>
    <row r="64">
      <c r="A64" t="inlineStr">
        <is>
          <t>No</t>
        </is>
      </c>
      <c r="B64" t="inlineStr">
        <is>
          <t>QU 18 C451b 1994</t>
        </is>
      </c>
      <c r="C64" t="inlineStr">
        <is>
          <t>0                      QU 0018000C  451b        1994</t>
        </is>
      </c>
      <c r="D64" t="inlineStr">
        <is>
          <t>Biochemistry / Pamela C. Champe, Richard A. Harvey ; technical consultant, F. Vella ; computer graphics, Michael Cooper.</t>
        </is>
      </c>
      <c r="F64" t="inlineStr">
        <is>
          <t>No</t>
        </is>
      </c>
      <c r="G64" t="inlineStr">
        <is>
          <t>1</t>
        </is>
      </c>
      <c r="H64" t="inlineStr">
        <is>
          <t>No</t>
        </is>
      </c>
      <c r="I64" t="inlineStr">
        <is>
          <t>No</t>
        </is>
      </c>
      <c r="J64" t="inlineStr">
        <is>
          <t>0</t>
        </is>
      </c>
      <c r="K64" t="inlineStr">
        <is>
          <t>Champe, Pamela C.</t>
        </is>
      </c>
      <c r="L64" t="inlineStr">
        <is>
          <t>Philadelphia : J.B. Lippincott, c1994.</t>
        </is>
      </c>
      <c r="M64" t="inlineStr">
        <is>
          <t>1994</t>
        </is>
      </c>
      <c r="O64" t="inlineStr">
        <is>
          <t>eng</t>
        </is>
      </c>
      <c r="P64" t="inlineStr">
        <is>
          <t>pau</t>
        </is>
      </c>
      <c r="Q64" t="inlineStr">
        <is>
          <t>Lippincott's illustrated reviews</t>
        </is>
      </c>
      <c r="R64" t="inlineStr">
        <is>
          <t xml:space="preserve">QU </t>
        </is>
      </c>
      <c r="S64" t="n">
        <v>196</v>
      </c>
      <c r="T64" t="n">
        <v>196</v>
      </c>
      <c r="U64" t="inlineStr">
        <is>
          <t>2009-03-02</t>
        </is>
      </c>
      <c r="V64" t="inlineStr">
        <is>
          <t>2009-03-02</t>
        </is>
      </c>
      <c r="W64" t="inlineStr">
        <is>
          <t>1995-04-04</t>
        </is>
      </c>
      <c r="X64" t="inlineStr">
        <is>
          <t>1995-04-04</t>
        </is>
      </c>
      <c r="Y64" t="n">
        <v>259</v>
      </c>
      <c r="Z64" t="n">
        <v>178</v>
      </c>
      <c r="AA64" t="n">
        <v>252</v>
      </c>
      <c r="AB64" t="n">
        <v>2</v>
      </c>
      <c r="AC64" t="n">
        <v>2</v>
      </c>
      <c r="AD64" t="n">
        <v>3</v>
      </c>
      <c r="AE64" t="n">
        <v>7</v>
      </c>
      <c r="AF64" t="n">
        <v>1</v>
      </c>
      <c r="AG64" t="n">
        <v>2</v>
      </c>
      <c r="AH64" t="n">
        <v>2</v>
      </c>
      <c r="AI64" t="n">
        <v>3</v>
      </c>
      <c r="AJ64" t="n">
        <v>0</v>
      </c>
      <c r="AK64" t="n">
        <v>2</v>
      </c>
      <c r="AL64" t="n">
        <v>1</v>
      </c>
      <c r="AM64" t="n">
        <v>1</v>
      </c>
      <c r="AN64" t="n">
        <v>0</v>
      </c>
      <c r="AO64" t="n">
        <v>0</v>
      </c>
      <c r="AP64" t="inlineStr">
        <is>
          <t>No</t>
        </is>
      </c>
      <c r="AQ64" t="inlineStr">
        <is>
          <t>Yes</t>
        </is>
      </c>
      <c r="AR64">
        <f>HYPERLINK("http://catalog.hathitrust.org/Record/003793798","HathiTrust Record")</f>
        <v/>
      </c>
      <c r="AS64">
        <f>HYPERLINK("https://creighton-primo.hosted.exlibrisgroup.com/primo-explore/search?tab=default_tab&amp;search_scope=EVERYTHING&amp;vid=01CRU&amp;lang=en_US&amp;offset=0&amp;query=any,contains,991001398729702656","Catalog Record")</f>
        <v/>
      </c>
      <c r="AT64">
        <f>HYPERLINK("http://www.worldcat.org/oclc/29564488","WorldCat Record")</f>
        <v/>
      </c>
      <c r="AU64" t="inlineStr">
        <is>
          <t>2908825681:eng</t>
        </is>
      </c>
      <c r="AV64" t="inlineStr">
        <is>
          <t>29564488</t>
        </is>
      </c>
      <c r="AW64" t="inlineStr">
        <is>
          <t>991001398729702656</t>
        </is>
      </c>
      <c r="AX64" t="inlineStr">
        <is>
          <t>991001398729702656</t>
        </is>
      </c>
      <c r="AY64" t="inlineStr">
        <is>
          <t>2255542050002656</t>
        </is>
      </c>
      <c r="AZ64" t="inlineStr">
        <is>
          <t>BOOK</t>
        </is>
      </c>
      <c r="BB64" t="inlineStr">
        <is>
          <t>9780397510917</t>
        </is>
      </c>
      <c r="BC64" t="inlineStr">
        <is>
          <t>30001003147081</t>
        </is>
      </c>
      <c r="BD64" t="inlineStr">
        <is>
          <t>893149141</t>
        </is>
      </c>
    </row>
    <row r="65">
      <c r="A65" t="inlineStr">
        <is>
          <t>No</t>
        </is>
      </c>
      <c r="B65" t="inlineStr">
        <is>
          <t>QU 18 C686b 1985</t>
        </is>
      </c>
      <c r="C65" t="inlineStr">
        <is>
          <t>0                      QU 0018000C  686b        1985</t>
        </is>
      </c>
      <c r="D65" t="inlineStr">
        <is>
          <t>Biochemistry : a synopsis / Diane S. Colby.</t>
        </is>
      </c>
      <c r="F65" t="inlineStr">
        <is>
          <t>No</t>
        </is>
      </c>
      <c r="G65" t="inlineStr">
        <is>
          <t>1</t>
        </is>
      </c>
      <c r="H65" t="inlineStr">
        <is>
          <t>No</t>
        </is>
      </c>
      <c r="I65" t="inlineStr">
        <is>
          <t>No</t>
        </is>
      </c>
      <c r="J65" t="inlineStr">
        <is>
          <t>0</t>
        </is>
      </c>
      <c r="K65" t="inlineStr">
        <is>
          <t>Colby, Diane S.</t>
        </is>
      </c>
      <c r="L65" t="inlineStr">
        <is>
          <t>Los Altos, Calif. : Lange Medical, c1985.</t>
        </is>
      </c>
      <c r="M65" t="inlineStr">
        <is>
          <t>1985</t>
        </is>
      </c>
      <c r="O65" t="inlineStr">
        <is>
          <t>eng</t>
        </is>
      </c>
      <c r="P65" t="inlineStr">
        <is>
          <t>cau</t>
        </is>
      </c>
      <c r="Q65" t="inlineStr">
        <is>
          <t>Concise medical library for practitioner and student</t>
        </is>
      </c>
      <c r="R65" t="inlineStr">
        <is>
          <t xml:space="preserve">QU </t>
        </is>
      </c>
      <c r="S65" t="n">
        <v>42</v>
      </c>
      <c r="T65" t="n">
        <v>42</v>
      </c>
      <c r="U65" t="inlineStr">
        <is>
          <t>2001-10-16</t>
        </is>
      </c>
      <c r="V65" t="inlineStr">
        <is>
          <t>2001-10-16</t>
        </is>
      </c>
      <c r="W65" t="inlineStr">
        <is>
          <t>1988-01-26</t>
        </is>
      </c>
      <c r="X65" t="inlineStr">
        <is>
          <t>1988-01-26</t>
        </is>
      </c>
      <c r="Y65" t="n">
        <v>134</v>
      </c>
      <c r="Z65" t="n">
        <v>100</v>
      </c>
      <c r="AA65" t="n">
        <v>102</v>
      </c>
      <c r="AB65" t="n">
        <v>0</v>
      </c>
      <c r="AC65" t="n">
        <v>0</v>
      </c>
      <c r="AD65" t="n">
        <v>1</v>
      </c>
      <c r="AE65" t="n">
        <v>1</v>
      </c>
      <c r="AF65" t="n">
        <v>0</v>
      </c>
      <c r="AG65" t="n">
        <v>0</v>
      </c>
      <c r="AH65" t="n">
        <v>0</v>
      </c>
      <c r="AI65" t="n">
        <v>0</v>
      </c>
      <c r="AJ65" t="n">
        <v>1</v>
      </c>
      <c r="AK65" t="n">
        <v>1</v>
      </c>
      <c r="AL65" t="n">
        <v>0</v>
      </c>
      <c r="AM65" t="n">
        <v>0</v>
      </c>
      <c r="AN65" t="n">
        <v>0</v>
      </c>
      <c r="AO65" t="n">
        <v>0</v>
      </c>
      <c r="AP65" t="inlineStr">
        <is>
          <t>No</t>
        </is>
      </c>
      <c r="AQ65" t="inlineStr">
        <is>
          <t>Yes</t>
        </is>
      </c>
      <c r="AR65">
        <f>HYPERLINK("http://catalog.hathitrust.org/Record/003192171","HathiTrust Record")</f>
        <v/>
      </c>
      <c r="AS65">
        <f>HYPERLINK("https://creighton-primo.hosted.exlibrisgroup.com/primo-explore/search?tab=default_tab&amp;search_scope=EVERYTHING&amp;vid=01CRU&amp;lang=en_US&amp;offset=0&amp;query=any,contains,991000895269702656","Catalog Record")</f>
        <v/>
      </c>
      <c r="AT65">
        <f>HYPERLINK("http://www.worldcat.org/oclc/12984189","WorldCat Record")</f>
        <v/>
      </c>
      <c r="AU65" t="inlineStr">
        <is>
          <t>905888457:eng</t>
        </is>
      </c>
      <c r="AV65" t="inlineStr">
        <is>
          <t>12984189</t>
        </is>
      </c>
      <c r="AW65" t="inlineStr">
        <is>
          <t>991000895269702656</t>
        </is>
      </c>
      <c r="AX65" t="inlineStr">
        <is>
          <t>991000895269702656</t>
        </is>
      </c>
      <c r="AY65" t="inlineStr">
        <is>
          <t>2266221370002656</t>
        </is>
      </c>
      <c r="AZ65" t="inlineStr">
        <is>
          <t>BOOK</t>
        </is>
      </c>
      <c r="BB65" t="inlineStr">
        <is>
          <t>9780870413308</t>
        </is>
      </c>
      <c r="BC65" t="inlineStr">
        <is>
          <t>30001000155434</t>
        </is>
      </c>
      <c r="BD65" t="inlineStr">
        <is>
          <t>893455251</t>
        </is>
      </c>
    </row>
    <row r="66">
      <c r="A66" t="inlineStr">
        <is>
          <t>No</t>
        </is>
      </c>
      <c r="B66" t="inlineStr">
        <is>
          <t>QU 18 H173b 1988</t>
        </is>
      </c>
      <c r="C66" t="inlineStr">
        <is>
          <t>0                      QU 0018000H  173b        1988</t>
        </is>
      </c>
      <c r="D66" t="inlineStr">
        <is>
          <t>Biochemistry / Ian D.K. Halkerston.</t>
        </is>
      </c>
      <c r="F66" t="inlineStr">
        <is>
          <t>No</t>
        </is>
      </c>
      <c r="G66" t="inlineStr">
        <is>
          <t>1</t>
        </is>
      </c>
      <c r="H66" t="inlineStr">
        <is>
          <t>No</t>
        </is>
      </c>
      <c r="I66" t="inlineStr">
        <is>
          <t>No</t>
        </is>
      </c>
      <c r="J66" t="inlineStr">
        <is>
          <t>0</t>
        </is>
      </c>
      <c r="K66" t="inlineStr">
        <is>
          <t>Halkerston, Ian D. K.</t>
        </is>
      </c>
      <c r="L66" t="inlineStr">
        <is>
          <t>Media, Pa. : Harwal Pub. Co., c1988.</t>
        </is>
      </c>
      <c r="M66" t="inlineStr">
        <is>
          <t>1988</t>
        </is>
      </c>
      <c r="N66" t="inlineStr">
        <is>
          <t>2nd ed.</t>
        </is>
      </c>
      <c r="O66" t="inlineStr">
        <is>
          <t>eng</t>
        </is>
      </c>
      <c r="P66" t="inlineStr">
        <is>
          <t>xxu</t>
        </is>
      </c>
      <c r="Q66" t="inlineStr">
        <is>
          <t>The National medical series for independent study.</t>
        </is>
      </c>
      <c r="R66" t="inlineStr">
        <is>
          <t xml:space="preserve">QU </t>
        </is>
      </c>
      <c r="S66" t="n">
        <v>74</v>
      </c>
      <c r="T66" t="n">
        <v>74</v>
      </c>
      <c r="U66" t="inlineStr">
        <is>
          <t>2007-03-16</t>
        </is>
      </c>
      <c r="V66" t="inlineStr">
        <is>
          <t>2007-03-16</t>
        </is>
      </c>
      <c r="W66" t="inlineStr">
        <is>
          <t>1989-02-23</t>
        </is>
      </c>
      <c r="X66" t="inlineStr">
        <is>
          <t>1989-02-23</t>
        </is>
      </c>
      <c r="Y66" t="n">
        <v>142</v>
      </c>
      <c r="Z66" t="n">
        <v>85</v>
      </c>
      <c r="AA66" t="n">
        <v>188</v>
      </c>
      <c r="AB66" t="n">
        <v>2</v>
      </c>
      <c r="AC66" t="n">
        <v>3</v>
      </c>
      <c r="AD66" t="n">
        <v>2</v>
      </c>
      <c r="AE66" t="n">
        <v>7</v>
      </c>
      <c r="AF66" t="n">
        <v>0</v>
      </c>
      <c r="AG66" t="n">
        <v>0</v>
      </c>
      <c r="AH66" t="n">
        <v>0</v>
      </c>
      <c r="AI66" t="n">
        <v>2</v>
      </c>
      <c r="AJ66" t="n">
        <v>1</v>
      </c>
      <c r="AK66" t="n">
        <v>5</v>
      </c>
      <c r="AL66" t="n">
        <v>1</v>
      </c>
      <c r="AM66" t="n">
        <v>2</v>
      </c>
      <c r="AN66" t="n">
        <v>0</v>
      </c>
      <c r="AO66" t="n">
        <v>0</v>
      </c>
      <c r="AP66" t="inlineStr">
        <is>
          <t>No</t>
        </is>
      </c>
      <c r="AQ66" t="inlineStr">
        <is>
          <t>No</t>
        </is>
      </c>
      <c r="AS66">
        <f>HYPERLINK("https://creighton-primo.hosted.exlibrisgroup.com/primo-explore/search?tab=default_tab&amp;search_scope=EVERYTHING&amp;vid=01CRU&amp;lang=en_US&amp;offset=0&amp;query=any,contains,991001238619702656","Catalog Record")</f>
        <v/>
      </c>
      <c r="AT66">
        <f>HYPERLINK("http://www.worldcat.org/oclc/16872170","WorldCat Record")</f>
        <v/>
      </c>
      <c r="AU66" t="inlineStr">
        <is>
          <t>5576749428:eng</t>
        </is>
      </c>
      <c r="AV66" t="inlineStr">
        <is>
          <t>16872170</t>
        </is>
      </c>
      <c r="AW66" t="inlineStr">
        <is>
          <t>991001238619702656</t>
        </is>
      </c>
      <c r="AX66" t="inlineStr">
        <is>
          <t>991001238619702656</t>
        </is>
      </c>
      <c r="AY66" t="inlineStr">
        <is>
          <t>2266617850002656</t>
        </is>
      </c>
      <c r="AZ66" t="inlineStr">
        <is>
          <t>BOOK</t>
        </is>
      </c>
      <c r="BB66" t="inlineStr">
        <is>
          <t>9780471855545</t>
        </is>
      </c>
      <c r="BC66" t="inlineStr">
        <is>
          <t>30001001675141</t>
        </is>
      </c>
      <c r="BD66" t="inlineStr">
        <is>
          <t>893460380</t>
        </is>
      </c>
    </row>
    <row r="67">
      <c r="A67" t="inlineStr">
        <is>
          <t>No</t>
        </is>
      </c>
      <c r="B67" t="inlineStr">
        <is>
          <t>QU 18 H636b 1994</t>
        </is>
      </c>
      <c r="C67" t="inlineStr">
        <is>
          <t>0                      QU 0018000H  636b        1994</t>
        </is>
      </c>
      <c r="D67" t="inlineStr">
        <is>
          <t>Biochemistry for the medical sciences : an integrated case approach / S.J. Higgins, A.J. Turner &amp; E.J. Wood ; [foreword by Thomas Devlin].</t>
        </is>
      </c>
      <c r="F67" t="inlineStr">
        <is>
          <t>No</t>
        </is>
      </c>
      <c r="G67" t="inlineStr">
        <is>
          <t>1</t>
        </is>
      </c>
      <c r="H67" t="inlineStr">
        <is>
          <t>No</t>
        </is>
      </c>
      <c r="I67" t="inlineStr">
        <is>
          <t>No</t>
        </is>
      </c>
      <c r="J67" t="inlineStr">
        <is>
          <t>0</t>
        </is>
      </c>
      <c r="K67" t="inlineStr">
        <is>
          <t>Higgins, S. J. (Steve J.)</t>
        </is>
      </c>
      <c r="L67" t="inlineStr">
        <is>
          <t>Harlow, Essex : Longman Scientific &amp; Technical ; New York : J. Wiley, c1994.</t>
        </is>
      </c>
      <c r="M67" t="inlineStr">
        <is>
          <t>1994</t>
        </is>
      </c>
      <c r="O67" t="inlineStr">
        <is>
          <t>eng</t>
        </is>
      </c>
      <c r="P67" t="inlineStr">
        <is>
          <t>enk</t>
        </is>
      </c>
      <c r="R67" t="inlineStr">
        <is>
          <t xml:space="preserve">QU </t>
        </is>
      </c>
      <c r="S67" t="n">
        <v>9</v>
      </c>
      <c r="T67" t="n">
        <v>9</v>
      </c>
      <c r="U67" t="inlineStr">
        <is>
          <t>2004-07-26</t>
        </is>
      </c>
      <c r="V67" t="inlineStr">
        <is>
          <t>2004-07-26</t>
        </is>
      </c>
      <c r="W67" t="inlineStr">
        <is>
          <t>1995-02-13</t>
        </is>
      </c>
      <c r="X67" t="inlineStr">
        <is>
          <t>1995-02-13</t>
        </is>
      </c>
      <c r="Y67" t="n">
        <v>162</v>
      </c>
      <c r="Z67" t="n">
        <v>67</v>
      </c>
      <c r="AA67" t="n">
        <v>69</v>
      </c>
      <c r="AB67" t="n">
        <v>1</v>
      </c>
      <c r="AC67" t="n">
        <v>1</v>
      </c>
      <c r="AD67" t="n">
        <v>2</v>
      </c>
      <c r="AE67" t="n">
        <v>2</v>
      </c>
      <c r="AF67" t="n">
        <v>1</v>
      </c>
      <c r="AG67" t="n">
        <v>1</v>
      </c>
      <c r="AH67" t="n">
        <v>0</v>
      </c>
      <c r="AI67" t="n">
        <v>0</v>
      </c>
      <c r="AJ67" t="n">
        <v>2</v>
      </c>
      <c r="AK67" t="n">
        <v>2</v>
      </c>
      <c r="AL67" t="n">
        <v>0</v>
      </c>
      <c r="AM67" t="n">
        <v>0</v>
      </c>
      <c r="AN67" t="n">
        <v>0</v>
      </c>
      <c r="AO67" t="n">
        <v>0</v>
      </c>
      <c r="AP67" t="inlineStr">
        <is>
          <t>No</t>
        </is>
      </c>
      <c r="AQ67" t="inlineStr">
        <is>
          <t>Yes</t>
        </is>
      </c>
      <c r="AR67">
        <f>HYPERLINK("http://catalog.hathitrust.org/Record/008994710","HathiTrust Record")</f>
        <v/>
      </c>
      <c r="AS67">
        <f>HYPERLINK("https://creighton-primo.hosted.exlibrisgroup.com/primo-explore/search?tab=default_tab&amp;search_scope=EVERYTHING&amp;vid=01CRU&amp;lang=en_US&amp;offset=0&amp;query=any,contains,991001396779702656","Catalog Record")</f>
        <v/>
      </c>
      <c r="AT67">
        <f>HYPERLINK("http://www.worldcat.org/oclc/28222755","WorldCat Record")</f>
        <v/>
      </c>
      <c r="AU67" t="inlineStr">
        <is>
          <t>836795548:eng</t>
        </is>
      </c>
      <c r="AV67" t="inlineStr">
        <is>
          <t>28222755</t>
        </is>
      </c>
      <c r="AW67" t="inlineStr">
        <is>
          <t>991001396779702656</t>
        </is>
      </c>
      <c r="AX67" t="inlineStr">
        <is>
          <t>991001396779702656</t>
        </is>
      </c>
      <c r="AY67" t="inlineStr">
        <is>
          <t>2261872190002656</t>
        </is>
      </c>
      <c r="AZ67" t="inlineStr">
        <is>
          <t>BOOK</t>
        </is>
      </c>
      <c r="BB67" t="inlineStr">
        <is>
          <t>9780470221488</t>
        </is>
      </c>
      <c r="BC67" t="inlineStr">
        <is>
          <t>30001003146273</t>
        </is>
      </c>
      <c r="BD67" t="inlineStr">
        <is>
          <t>893287375</t>
        </is>
      </c>
    </row>
    <row r="68">
      <c r="A68" t="inlineStr">
        <is>
          <t>No</t>
        </is>
      </c>
      <c r="B68" t="inlineStr">
        <is>
          <t>QU 18 J78b 1980</t>
        </is>
      </c>
      <c r="C68" t="inlineStr">
        <is>
          <t>0                      QU 0018000J  78b         1980</t>
        </is>
      </c>
      <c r="D68" t="inlineStr">
        <is>
          <t>Blood gases and acid-base physiology / Norman L. Jones.</t>
        </is>
      </c>
      <c r="F68" t="inlineStr">
        <is>
          <t>No</t>
        </is>
      </c>
      <c r="G68" t="inlineStr">
        <is>
          <t>1</t>
        </is>
      </c>
      <c r="H68" t="inlineStr">
        <is>
          <t>No</t>
        </is>
      </c>
      <c r="I68" t="inlineStr">
        <is>
          <t>No</t>
        </is>
      </c>
      <c r="J68" t="inlineStr">
        <is>
          <t>0</t>
        </is>
      </c>
      <c r="K68" t="inlineStr">
        <is>
          <t>Jones, Norman L.</t>
        </is>
      </c>
      <c r="L68" t="inlineStr">
        <is>
          <t>New York : Decker, c1980.</t>
        </is>
      </c>
      <c r="M68" t="inlineStr">
        <is>
          <t>1980</t>
        </is>
      </c>
      <c r="O68" t="inlineStr">
        <is>
          <t>eng</t>
        </is>
      </c>
      <c r="P68" t="inlineStr">
        <is>
          <t xml:space="preserve">xx </t>
        </is>
      </c>
      <c r="R68" t="inlineStr">
        <is>
          <t xml:space="preserve">QU </t>
        </is>
      </c>
      <c r="S68" t="n">
        <v>8</v>
      </c>
      <c r="T68" t="n">
        <v>8</v>
      </c>
      <c r="U68" t="inlineStr">
        <is>
          <t>1996-08-31</t>
        </is>
      </c>
      <c r="V68" t="inlineStr">
        <is>
          <t>1996-08-31</t>
        </is>
      </c>
      <c r="W68" t="inlineStr">
        <is>
          <t>1988-01-26</t>
        </is>
      </c>
      <c r="X68" t="inlineStr">
        <is>
          <t>1988-01-26</t>
        </is>
      </c>
      <c r="Y68" t="n">
        <v>105</v>
      </c>
      <c r="Z68" t="n">
        <v>70</v>
      </c>
      <c r="AA68" t="n">
        <v>131</v>
      </c>
      <c r="AB68" t="n">
        <v>1</v>
      </c>
      <c r="AC68" t="n">
        <v>1</v>
      </c>
      <c r="AD68" t="n">
        <v>1</v>
      </c>
      <c r="AE68" t="n">
        <v>3</v>
      </c>
      <c r="AF68" t="n">
        <v>1</v>
      </c>
      <c r="AG68" t="n">
        <v>1</v>
      </c>
      <c r="AH68" t="n">
        <v>0</v>
      </c>
      <c r="AI68" t="n">
        <v>1</v>
      </c>
      <c r="AJ68" t="n">
        <v>0</v>
      </c>
      <c r="AK68" t="n">
        <v>2</v>
      </c>
      <c r="AL68" t="n">
        <v>0</v>
      </c>
      <c r="AM68" t="n">
        <v>0</v>
      </c>
      <c r="AN68" t="n">
        <v>0</v>
      </c>
      <c r="AO68" t="n">
        <v>0</v>
      </c>
      <c r="AP68" t="inlineStr">
        <is>
          <t>No</t>
        </is>
      </c>
      <c r="AQ68" t="inlineStr">
        <is>
          <t>Yes</t>
        </is>
      </c>
      <c r="AR68">
        <f>HYPERLINK("http://catalog.hathitrust.org/Record/000715245","HathiTrust Record")</f>
        <v/>
      </c>
      <c r="AS68">
        <f>HYPERLINK("https://creighton-primo.hosted.exlibrisgroup.com/primo-explore/search?tab=default_tab&amp;search_scope=EVERYTHING&amp;vid=01CRU&amp;lang=en_US&amp;offset=0&amp;query=any,contains,991000895209702656","Catalog Record")</f>
        <v/>
      </c>
      <c r="AT68">
        <f>HYPERLINK("http://www.worldcat.org/oclc/5825081","WorldCat Record")</f>
        <v/>
      </c>
      <c r="AU68" t="inlineStr">
        <is>
          <t>10196621:eng</t>
        </is>
      </c>
      <c r="AV68" t="inlineStr">
        <is>
          <t>5825081</t>
        </is>
      </c>
      <c r="AW68" t="inlineStr">
        <is>
          <t>991000895209702656</t>
        </is>
      </c>
      <c r="AX68" t="inlineStr">
        <is>
          <t>991000895209702656</t>
        </is>
      </c>
      <c r="AY68" t="inlineStr">
        <is>
          <t>2259285340002656</t>
        </is>
      </c>
      <c r="AZ68" t="inlineStr">
        <is>
          <t>BOOK</t>
        </is>
      </c>
      <c r="BB68" t="inlineStr">
        <is>
          <t>9780913258651</t>
        </is>
      </c>
      <c r="BC68" t="inlineStr">
        <is>
          <t>30001000155384</t>
        </is>
      </c>
      <c r="BD68" t="inlineStr">
        <is>
          <t>893546167</t>
        </is>
      </c>
    </row>
    <row r="69">
      <c r="A69" t="inlineStr">
        <is>
          <t>No</t>
        </is>
      </c>
      <c r="B69" t="inlineStr">
        <is>
          <t>QU 18 K17b 1990</t>
        </is>
      </c>
      <c r="C69" t="inlineStr">
        <is>
          <t>0                      QU 0018000K  17b         1990</t>
        </is>
      </c>
      <c r="D69" t="inlineStr">
        <is>
          <t>Biochemistry / [as developed by Stanley H. Kaplan].</t>
        </is>
      </c>
      <c r="F69" t="inlineStr">
        <is>
          <t>No</t>
        </is>
      </c>
      <c r="G69" t="inlineStr">
        <is>
          <t>1</t>
        </is>
      </c>
      <c r="H69" t="inlineStr">
        <is>
          <t>No</t>
        </is>
      </c>
      <c r="I69" t="inlineStr">
        <is>
          <t>No</t>
        </is>
      </c>
      <c r="J69" t="inlineStr">
        <is>
          <t>0</t>
        </is>
      </c>
      <c r="K69" t="inlineStr">
        <is>
          <t>Stanley H. Kaplan Educational Center (New York, N.Y.)</t>
        </is>
      </c>
      <c r="L69" t="inlineStr">
        <is>
          <t>[New York, N.Y.] : S.H. Kaplan Educational Center, c1990.</t>
        </is>
      </c>
      <c r="M69" t="inlineStr">
        <is>
          <t>1990</t>
        </is>
      </c>
      <c r="O69" t="inlineStr">
        <is>
          <t>eng</t>
        </is>
      </c>
      <c r="P69" t="inlineStr">
        <is>
          <t>nyu</t>
        </is>
      </c>
      <c r="Q69" t="inlineStr">
        <is>
          <t>Basic medical science notes</t>
        </is>
      </c>
      <c r="R69" t="inlineStr">
        <is>
          <t xml:space="preserve">QU </t>
        </is>
      </c>
      <c r="S69" t="n">
        <v>20</v>
      </c>
      <c r="T69" t="n">
        <v>20</v>
      </c>
      <c r="U69" t="inlineStr">
        <is>
          <t>2004-12-07</t>
        </is>
      </c>
      <c r="V69" t="inlineStr">
        <is>
          <t>2004-12-07</t>
        </is>
      </c>
      <c r="W69" t="inlineStr">
        <is>
          <t>1993-05-07</t>
        </is>
      </c>
      <c r="X69" t="inlineStr">
        <is>
          <t>1993-05-07</t>
        </is>
      </c>
      <c r="Y69" t="n">
        <v>18</v>
      </c>
      <c r="Z69" t="n">
        <v>18</v>
      </c>
      <c r="AA69" t="n">
        <v>29</v>
      </c>
      <c r="AB69" t="n">
        <v>1</v>
      </c>
      <c r="AC69" t="n">
        <v>1</v>
      </c>
      <c r="AD69" t="n">
        <v>1</v>
      </c>
      <c r="AE69" t="n">
        <v>1</v>
      </c>
      <c r="AF69" t="n">
        <v>0</v>
      </c>
      <c r="AG69" t="n">
        <v>0</v>
      </c>
      <c r="AH69" t="n">
        <v>1</v>
      </c>
      <c r="AI69" t="n">
        <v>1</v>
      </c>
      <c r="AJ69" t="n">
        <v>0</v>
      </c>
      <c r="AK69" t="n">
        <v>0</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HYPERLINK("https://creighton-primo.hosted.exlibrisgroup.com/primo-explore/search?tab=default_tab&amp;search_scope=EVERYTHING&amp;vid=01CRU&amp;lang=en_US&amp;offset=0&amp;query=any,contains,991001508799702656","Catalog Record")</f>
        <v/>
      </c>
      <c r="AT69">
        <f>HYPERLINK("http://www.worldcat.org/oclc/26048820","WorldCat Record")</f>
        <v/>
      </c>
      <c r="AU69" t="inlineStr">
        <is>
          <t>320120875:eng</t>
        </is>
      </c>
      <c r="AV69" t="inlineStr">
        <is>
          <t>26048820</t>
        </is>
      </c>
      <c r="AW69" t="inlineStr">
        <is>
          <t>991001508799702656</t>
        </is>
      </c>
      <c r="AX69" t="inlineStr">
        <is>
          <t>991001508799702656</t>
        </is>
      </c>
      <c r="AY69" t="inlineStr">
        <is>
          <t>2259965220002656</t>
        </is>
      </c>
      <c r="AZ69" t="inlineStr">
        <is>
          <t>BOOK</t>
        </is>
      </c>
      <c r="BC69" t="inlineStr">
        <is>
          <t>30001002600288</t>
        </is>
      </c>
      <c r="BD69" t="inlineStr">
        <is>
          <t>893377314</t>
        </is>
      </c>
    </row>
    <row r="70">
      <c r="A70" t="inlineStr">
        <is>
          <t>No</t>
        </is>
      </c>
      <c r="B70" t="inlineStr">
        <is>
          <t>QU 18 K96b 1993</t>
        </is>
      </c>
      <c r="C70" t="inlineStr">
        <is>
          <t>0                      QU 0018000K  96b         1993</t>
        </is>
      </c>
      <c r="D70" t="inlineStr">
        <is>
          <t>Biochemistry : review for new national boards / Ajit Kumar, Kurt E. Johnson.</t>
        </is>
      </c>
      <c r="F70" t="inlineStr">
        <is>
          <t>No</t>
        </is>
      </c>
      <c r="G70" t="inlineStr">
        <is>
          <t>1</t>
        </is>
      </c>
      <c r="H70" t="inlineStr">
        <is>
          <t>No</t>
        </is>
      </c>
      <c r="I70" t="inlineStr">
        <is>
          <t>No</t>
        </is>
      </c>
      <c r="J70" t="inlineStr">
        <is>
          <t>0</t>
        </is>
      </c>
      <c r="K70" t="inlineStr">
        <is>
          <t>Kumar, Ajit.</t>
        </is>
      </c>
      <c r="L70" t="inlineStr">
        <is>
          <t>Alexandria, Va. : J&amp;S Pub. Co., c1993.</t>
        </is>
      </c>
      <c r="M70" t="inlineStr">
        <is>
          <t>1993</t>
        </is>
      </c>
      <c r="O70" t="inlineStr">
        <is>
          <t>eng</t>
        </is>
      </c>
      <c r="P70" t="inlineStr">
        <is>
          <t>vau</t>
        </is>
      </c>
      <c r="R70" t="inlineStr">
        <is>
          <t xml:space="preserve">QU </t>
        </is>
      </c>
      <c r="S70" t="n">
        <v>44</v>
      </c>
      <c r="T70" t="n">
        <v>44</v>
      </c>
      <c r="U70" t="inlineStr">
        <is>
          <t>2009-03-02</t>
        </is>
      </c>
      <c r="V70" t="inlineStr">
        <is>
          <t>2009-03-02</t>
        </is>
      </c>
      <c r="W70" t="inlineStr">
        <is>
          <t>1993-09-02</t>
        </is>
      </c>
      <c r="X70" t="inlineStr">
        <is>
          <t>1993-09-02</t>
        </is>
      </c>
      <c r="Y70" t="n">
        <v>72</v>
      </c>
      <c r="Z70" t="n">
        <v>56</v>
      </c>
      <c r="AA70" t="n">
        <v>57</v>
      </c>
      <c r="AB70" t="n">
        <v>1</v>
      </c>
      <c r="AC70" t="n">
        <v>1</v>
      </c>
      <c r="AD70" t="n">
        <v>1</v>
      </c>
      <c r="AE70" t="n">
        <v>1</v>
      </c>
      <c r="AF70" t="n">
        <v>0</v>
      </c>
      <c r="AG70" t="n">
        <v>0</v>
      </c>
      <c r="AH70" t="n">
        <v>1</v>
      </c>
      <c r="AI70" t="n">
        <v>1</v>
      </c>
      <c r="AJ70" t="n">
        <v>0</v>
      </c>
      <c r="AK70" t="n">
        <v>0</v>
      </c>
      <c r="AL70" t="n">
        <v>0</v>
      </c>
      <c r="AM70" t="n">
        <v>0</v>
      </c>
      <c r="AN70" t="n">
        <v>0</v>
      </c>
      <c r="AO70" t="n">
        <v>0</v>
      </c>
      <c r="AP70" t="inlineStr">
        <is>
          <t>No</t>
        </is>
      </c>
      <c r="AQ70" t="inlineStr">
        <is>
          <t>No</t>
        </is>
      </c>
      <c r="AS70">
        <f>HYPERLINK("https://creighton-primo.hosted.exlibrisgroup.com/primo-explore/search?tab=default_tab&amp;search_scope=EVERYTHING&amp;vid=01CRU&amp;lang=en_US&amp;offset=0&amp;query=any,contains,991001513969702656","Catalog Record")</f>
        <v/>
      </c>
      <c r="AT70">
        <f>HYPERLINK("http://www.worldcat.org/oclc/27876325","WorldCat Record")</f>
        <v/>
      </c>
      <c r="AU70" t="inlineStr">
        <is>
          <t>228485828:eng</t>
        </is>
      </c>
      <c r="AV70" t="inlineStr">
        <is>
          <t>27876325</t>
        </is>
      </c>
      <c r="AW70" t="inlineStr">
        <is>
          <t>991001513969702656</t>
        </is>
      </c>
      <c r="AX70" t="inlineStr">
        <is>
          <t>991001513969702656</t>
        </is>
      </c>
      <c r="AY70" t="inlineStr">
        <is>
          <t>2257294570002656</t>
        </is>
      </c>
      <c r="AZ70" t="inlineStr">
        <is>
          <t>BOOK</t>
        </is>
      </c>
      <c r="BB70" t="inlineStr">
        <is>
          <t>9780963287311</t>
        </is>
      </c>
      <c r="BC70" t="inlineStr">
        <is>
          <t>30001002601427</t>
        </is>
      </c>
      <c r="BD70" t="inlineStr">
        <is>
          <t>893460663</t>
        </is>
      </c>
    </row>
    <row r="71">
      <c r="A71" t="inlineStr">
        <is>
          <t>No</t>
        </is>
      </c>
      <c r="B71" t="inlineStr">
        <is>
          <t>QU 18 L947L 1995</t>
        </is>
      </c>
      <c r="C71" t="inlineStr">
        <is>
          <t>0                      QU 0018000L  947L        1995</t>
        </is>
      </c>
      <c r="D71" t="inlineStr">
        <is>
          <t>Learning biochemistry : 100 case oriented problems / Richard F. Ludueña.</t>
        </is>
      </c>
      <c r="F71" t="inlineStr">
        <is>
          <t>No</t>
        </is>
      </c>
      <c r="G71" t="inlineStr">
        <is>
          <t>1</t>
        </is>
      </c>
      <c r="H71" t="inlineStr">
        <is>
          <t>No</t>
        </is>
      </c>
      <c r="I71" t="inlineStr">
        <is>
          <t>No</t>
        </is>
      </c>
      <c r="J71" t="inlineStr">
        <is>
          <t>0</t>
        </is>
      </c>
      <c r="K71" t="inlineStr">
        <is>
          <t>Ludueña, Richard F.</t>
        </is>
      </c>
      <c r="L71" t="inlineStr">
        <is>
          <t>New York : Wiley-Liss, c1995.</t>
        </is>
      </c>
      <c r="M71" t="inlineStr">
        <is>
          <t>1995</t>
        </is>
      </c>
      <c r="O71" t="inlineStr">
        <is>
          <t>eng</t>
        </is>
      </c>
      <c r="P71" t="inlineStr">
        <is>
          <t>nyu</t>
        </is>
      </c>
      <c r="R71" t="inlineStr">
        <is>
          <t xml:space="preserve">QU </t>
        </is>
      </c>
      <c r="S71" t="n">
        <v>20</v>
      </c>
      <c r="T71" t="n">
        <v>20</v>
      </c>
      <c r="U71" t="inlineStr">
        <is>
          <t>2009-09-09</t>
        </is>
      </c>
      <c r="V71" t="inlineStr">
        <is>
          <t>2009-09-09</t>
        </is>
      </c>
      <c r="W71" t="inlineStr">
        <is>
          <t>1995-03-31</t>
        </is>
      </c>
      <c r="X71" t="inlineStr">
        <is>
          <t>1995-03-31</t>
        </is>
      </c>
      <c r="Y71" t="n">
        <v>166</v>
      </c>
      <c r="Z71" t="n">
        <v>107</v>
      </c>
      <c r="AA71" t="n">
        <v>113</v>
      </c>
      <c r="AB71" t="n">
        <v>3</v>
      </c>
      <c r="AC71" t="n">
        <v>3</v>
      </c>
      <c r="AD71" t="n">
        <v>7</v>
      </c>
      <c r="AE71" t="n">
        <v>7</v>
      </c>
      <c r="AF71" t="n">
        <v>1</v>
      </c>
      <c r="AG71" t="n">
        <v>1</v>
      </c>
      <c r="AH71" t="n">
        <v>1</v>
      </c>
      <c r="AI71" t="n">
        <v>1</v>
      </c>
      <c r="AJ71" t="n">
        <v>5</v>
      </c>
      <c r="AK71" t="n">
        <v>5</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HYPERLINK("https://creighton-primo.hosted.exlibrisgroup.com/primo-explore/search?tab=default_tab&amp;search_scope=EVERYTHING&amp;vid=01CRU&amp;lang=en_US&amp;offset=0&amp;query=any,contains,991001398359702656","Catalog Record")</f>
        <v/>
      </c>
      <c r="AT71">
        <f>HYPERLINK("http://www.worldcat.org/oclc/31515523","WorldCat Record")</f>
        <v/>
      </c>
      <c r="AU71" t="inlineStr">
        <is>
          <t>2278770349:eng</t>
        </is>
      </c>
      <c r="AV71" t="inlineStr">
        <is>
          <t>31515523</t>
        </is>
      </c>
      <c r="AW71" t="inlineStr">
        <is>
          <t>991001398359702656</t>
        </is>
      </c>
      <c r="AX71" t="inlineStr">
        <is>
          <t>991001398359702656</t>
        </is>
      </c>
      <c r="AY71" t="inlineStr">
        <is>
          <t>2272036860002656</t>
        </is>
      </c>
      <c r="AZ71" t="inlineStr">
        <is>
          <t>BOOK</t>
        </is>
      </c>
      <c r="BB71" t="inlineStr">
        <is>
          <t>9780471018872</t>
        </is>
      </c>
      <c r="BC71" t="inlineStr">
        <is>
          <t>30001003146984</t>
        </is>
      </c>
      <c r="BD71" t="inlineStr">
        <is>
          <t>893149140</t>
        </is>
      </c>
    </row>
    <row r="72">
      <c r="A72" t="inlineStr">
        <is>
          <t>No</t>
        </is>
      </c>
      <c r="B72" t="inlineStr">
        <is>
          <t>QU 18 M788q 1969</t>
        </is>
      </c>
      <c r="C72" t="inlineStr">
        <is>
          <t>0                      QU 0018000M  788q        1969</t>
        </is>
      </c>
      <c r="D72" t="inlineStr">
        <is>
          <t>Quantitative problems in the biochemical sciences / ex Montgomery, Charles A. Swenson.</t>
        </is>
      </c>
      <c r="F72" t="inlineStr">
        <is>
          <t>No</t>
        </is>
      </c>
      <c r="G72" t="inlineStr">
        <is>
          <t>1</t>
        </is>
      </c>
      <c r="H72" t="inlineStr">
        <is>
          <t>No</t>
        </is>
      </c>
      <c r="I72" t="inlineStr">
        <is>
          <t>No</t>
        </is>
      </c>
      <c r="J72" t="inlineStr">
        <is>
          <t>0</t>
        </is>
      </c>
      <c r="K72" t="inlineStr">
        <is>
          <t>Montgomery, Rex.</t>
        </is>
      </c>
      <c r="L72" t="inlineStr">
        <is>
          <t>San Francisco : W. H. Freeman, [1969]</t>
        </is>
      </c>
      <c r="M72" t="inlineStr">
        <is>
          <t>1969</t>
        </is>
      </c>
      <c r="O72" t="inlineStr">
        <is>
          <t>eng</t>
        </is>
      </c>
      <c r="P72" t="inlineStr">
        <is>
          <t>cau</t>
        </is>
      </c>
      <c r="R72" t="inlineStr">
        <is>
          <t xml:space="preserve">QU </t>
        </is>
      </c>
      <c r="S72" t="n">
        <v>4</v>
      </c>
      <c r="T72" t="n">
        <v>4</v>
      </c>
      <c r="U72" t="inlineStr">
        <is>
          <t>1994-05-09</t>
        </is>
      </c>
      <c r="V72" t="inlineStr">
        <is>
          <t>1994-05-09</t>
        </is>
      </c>
      <c r="W72" t="inlineStr">
        <is>
          <t>1988-03-02</t>
        </is>
      </c>
      <c r="X72" t="inlineStr">
        <is>
          <t>1988-03-02</t>
        </is>
      </c>
      <c r="Y72" t="n">
        <v>337</v>
      </c>
      <c r="Z72" t="n">
        <v>246</v>
      </c>
      <c r="AA72" t="n">
        <v>388</v>
      </c>
      <c r="AB72" t="n">
        <v>4</v>
      </c>
      <c r="AC72" t="n">
        <v>5</v>
      </c>
      <c r="AD72" t="n">
        <v>11</v>
      </c>
      <c r="AE72" t="n">
        <v>17</v>
      </c>
      <c r="AF72" t="n">
        <v>2</v>
      </c>
      <c r="AG72" t="n">
        <v>4</v>
      </c>
      <c r="AH72" t="n">
        <v>1</v>
      </c>
      <c r="AI72" t="n">
        <v>2</v>
      </c>
      <c r="AJ72" t="n">
        <v>6</v>
      </c>
      <c r="AK72" t="n">
        <v>10</v>
      </c>
      <c r="AL72" t="n">
        <v>2</v>
      </c>
      <c r="AM72" t="n">
        <v>3</v>
      </c>
      <c r="AN72" t="n">
        <v>0</v>
      </c>
      <c r="AO72" t="n">
        <v>0</v>
      </c>
      <c r="AP72" t="inlineStr">
        <is>
          <t>No</t>
        </is>
      </c>
      <c r="AQ72" t="inlineStr">
        <is>
          <t>Yes</t>
        </is>
      </c>
      <c r="AR72">
        <f>HYPERLINK("http://catalog.hathitrust.org/Record/001113858","HathiTrust Record")</f>
        <v/>
      </c>
      <c r="AS72">
        <f>HYPERLINK("https://creighton-primo.hosted.exlibrisgroup.com/primo-explore/search?tab=default_tab&amp;search_scope=EVERYTHING&amp;vid=01CRU&amp;lang=en_US&amp;offset=0&amp;query=any,contains,991000895179702656","Catalog Record")</f>
        <v/>
      </c>
      <c r="AT72">
        <f>HYPERLINK("http://www.worldcat.org/oclc/4477","WorldCat Record")</f>
        <v/>
      </c>
      <c r="AU72" t="inlineStr">
        <is>
          <t>447011:eng</t>
        </is>
      </c>
      <c r="AV72" t="inlineStr">
        <is>
          <t>4477</t>
        </is>
      </c>
      <c r="AW72" t="inlineStr">
        <is>
          <t>991000895179702656</t>
        </is>
      </c>
      <c r="AX72" t="inlineStr">
        <is>
          <t>991000895179702656</t>
        </is>
      </c>
      <c r="AY72" t="inlineStr">
        <is>
          <t>2266295010002656</t>
        </is>
      </c>
      <c r="AZ72" t="inlineStr">
        <is>
          <t>BOOK</t>
        </is>
      </c>
      <c r="BC72" t="inlineStr">
        <is>
          <t>30001000155376</t>
        </is>
      </c>
      <c r="BD72" t="inlineStr">
        <is>
          <t>893283992</t>
        </is>
      </c>
    </row>
    <row r="73">
      <c r="A73" t="inlineStr">
        <is>
          <t>No</t>
        </is>
      </c>
      <c r="B73" t="inlineStr">
        <is>
          <t>QU 25 B414g 1985</t>
        </is>
      </c>
      <c r="C73" t="inlineStr">
        <is>
          <t>0                      QU 0025000B  414g        1985</t>
        </is>
      </c>
      <c r="D73" t="inlineStr">
        <is>
          <t>Glycoprotein and proteoglycan techniques / J.G. Beeley.</t>
        </is>
      </c>
      <c r="F73" t="inlineStr">
        <is>
          <t>No</t>
        </is>
      </c>
      <c r="G73" t="inlineStr">
        <is>
          <t>1</t>
        </is>
      </c>
      <c r="H73" t="inlineStr">
        <is>
          <t>No</t>
        </is>
      </c>
      <c r="I73" t="inlineStr">
        <is>
          <t>No</t>
        </is>
      </c>
      <c r="J73" t="inlineStr">
        <is>
          <t>0</t>
        </is>
      </c>
      <c r="K73" t="inlineStr">
        <is>
          <t>Beeley, J. G.</t>
        </is>
      </c>
      <c r="L73" t="inlineStr">
        <is>
          <t>Amsterdam ; New York : Elsevier ; New York, NY, USA : Sole distributors for the USA and Canada, Elsevier Science Pub. Co., 1985.</t>
        </is>
      </c>
      <c r="M73" t="inlineStr">
        <is>
          <t>1985</t>
        </is>
      </c>
      <c r="O73" t="inlineStr">
        <is>
          <t>eng</t>
        </is>
      </c>
      <c r="P73" t="inlineStr">
        <is>
          <t xml:space="preserve">ne </t>
        </is>
      </c>
      <c r="Q73" t="inlineStr">
        <is>
          <t>Laboratory techniques in biochemistry and molecular biology ; v. 16</t>
        </is>
      </c>
      <c r="R73" t="inlineStr">
        <is>
          <t xml:space="preserve">QU </t>
        </is>
      </c>
      <c r="S73" t="n">
        <v>5</v>
      </c>
      <c r="T73" t="n">
        <v>5</v>
      </c>
      <c r="U73" t="inlineStr">
        <is>
          <t>2000-05-02</t>
        </is>
      </c>
      <c r="V73" t="inlineStr">
        <is>
          <t>2000-05-02</t>
        </is>
      </c>
      <c r="W73" t="inlineStr">
        <is>
          <t>1988-01-26</t>
        </is>
      </c>
      <c r="X73" t="inlineStr">
        <is>
          <t>1988-01-26</t>
        </is>
      </c>
      <c r="Y73" t="n">
        <v>314</v>
      </c>
      <c r="Z73" t="n">
        <v>185</v>
      </c>
      <c r="AA73" t="n">
        <v>222</v>
      </c>
      <c r="AB73" t="n">
        <v>2</v>
      </c>
      <c r="AC73" t="n">
        <v>3</v>
      </c>
      <c r="AD73" t="n">
        <v>8</v>
      </c>
      <c r="AE73" t="n">
        <v>10</v>
      </c>
      <c r="AF73" t="n">
        <v>1</v>
      </c>
      <c r="AG73" t="n">
        <v>2</v>
      </c>
      <c r="AH73" t="n">
        <v>3</v>
      </c>
      <c r="AI73" t="n">
        <v>3</v>
      </c>
      <c r="AJ73" t="n">
        <v>6</v>
      </c>
      <c r="AK73" t="n">
        <v>6</v>
      </c>
      <c r="AL73" t="n">
        <v>1</v>
      </c>
      <c r="AM73" t="n">
        <v>2</v>
      </c>
      <c r="AN73" t="n">
        <v>0</v>
      </c>
      <c r="AO73" t="n">
        <v>0</v>
      </c>
      <c r="AP73" t="inlineStr">
        <is>
          <t>No</t>
        </is>
      </c>
      <c r="AQ73" t="inlineStr">
        <is>
          <t>No</t>
        </is>
      </c>
      <c r="AS73">
        <f>HYPERLINK("https://creighton-primo.hosted.exlibrisgroup.com/primo-explore/search?tab=default_tab&amp;search_scope=EVERYTHING&amp;vid=01CRU&amp;lang=en_US&amp;offset=0&amp;query=any,contains,991000895059702656","Catalog Record")</f>
        <v/>
      </c>
      <c r="AT73">
        <f>HYPERLINK("http://www.worldcat.org/oclc/15366308","WorldCat Record")</f>
        <v/>
      </c>
      <c r="AU73" t="inlineStr">
        <is>
          <t>5179415:eng</t>
        </is>
      </c>
      <c r="AV73" t="inlineStr">
        <is>
          <t>15366308</t>
        </is>
      </c>
      <c r="AW73" t="inlineStr">
        <is>
          <t>991000895059702656</t>
        </is>
      </c>
      <c r="AX73" t="inlineStr">
        <is>
          <t>991000895059702656</t>
        </is>
      </c>
      <c r="AY73" t="inlineStr">
        <is>
          <t>2259913740002656</t>
        </is>
      </c>
      <c r="AZ73" t="inlineStr">
        <is>
          <t>BOOK</t>
        </is>
      </c>
      <c r="BB73" t="inlineStr">
        <is>
          <t>9780444806512</t>
        </is>
      </c>
      <c r="BC73" t="inlineStr">
        <is>
          <t>30001000155301</t>
        </is>
      </c>
      <c r="BD73" t="inlineStr">
        <is>
          <t>893273438</t>
        </is>
      </c>
    </row>
    <row r="74">
      <c r="A74" t="inlineStr">
        <is>
          <t>No</t>
        </is>
      </c>
      <c r="B74" t="inlineStr">
        <is>
          <t>QU 25 B651 1983</t>
        </is>
      </c>
      <c r="C74" t="inlineStr">
        <is>
          <t>0                      QU 0025000B  651         1983</t>
        </is>
      </c>
      <c r="D74" t="inlineStr">
        <is>
          <t>Biochemical research techniques : a practical introduction / edited by John M. Wrigglesworth.</t>
        </is>
      </c>
      <c r="F74" t="inlineStr">
        <is>
          <t>No</t>
        </is>
      </c>
      <c r="G74" t="inlineStr">
        <is>
          <t>1</t>
        </is>
      </c>
      <c r="H74" t="inlineStr">
        <is>
          <t>No</t>
        </is>
      </c>
      <c r="I74" t="inlineStr">
        <is>
          <t>No</t>
        </is>
      </c>
      <c r="J74" t="inlineStr">
        <is>
          <t>0</t>
        </is>
      </c>
      <c r="L74" t="inlineStr">
        <is>
          <t>Chichester (Sussex) ; New York : Wiley, c1983.</t>
        </is>
      </c>
      <c r="M74" t="inlineStr">
        <is>
          <t>1983</t>
        </is>
      </c>
      <c r="O74" t="inlineStr">
        <is>
          <t>eng</t>
        </is>
      </c>
      <c r="P74" t="inlineStr">
        <is>
          <t>enk</t>
        </is>
      </c>
      <c r="R74" t="inlineStr">
        <is>
          <t xml:space="preserve">QU </t>
        </is>
      </c>
      <c r="S74" t="n">
        <v>12</v>
      </c>
      <c r="T74" t="n">
        <v>12</v>
      </c>
      <c r="U74" t="inlineStr">
        <is>
          <t>1995-01-24</t>
        </is>
      </c>
      <c r="V74" t="inlineStr">
        <is>
          <t>1995-01-24</t>
        </is>
      </c>
      <c r="W74" t="inlineStr">
        <is>
          <t>1988-01-26</t>
        </is>
      </c>
      <c r="X74" t="inlineStr">
        <is>
          <t>1988-01-26</t>
        </is>
      </c>
      <c r="Y74" t="n">
        <v>411</v>
      </c>
      <c r="Z74" t="n">
        <v>294</v>
      </c>
      <c r="AA74" t="n">
        <v>301</v>
      </c>
      <c r="AB74" t="n">
        <v>1</v>
      </c>
      <c r="AC74" t="n">
        <v>1</v>
      </c>
      <c r="AD74" t="n">
        <v>12</v>
      </c>
      <c r="AE74" t="n">
        <v>12</v>
      </c>
      <c r="AF74" t="n">
        <v>4</v>
      </c>
      <c r="AG74" t="n">
        <v>4</v>
      </c>
      <c r="AH74" t="n">
        <v>4</v>
      </c>
      <c r="AI74" t="n">
        <v>4</v>
      </c>
      <c r="AJ74" t="n">
        <v>10</v>
      </c>
      <c r="AK74" t="n">
        <v>10</v>
      </c>
      <c r="AL74" t="n">
        <v>0</v>
      </c>
      <c r="AM74" t="n">
        <v>0</v>
      </c>
      <c r="AN74" t="n">
        <v>0</v>
      </c>
      <c r="AO74" t="n">
        <v>0</v>
      </c>
      <c r="AP74" t="inlineStr">
        <is>
          <t>No</t>
        </is>
      </c>
      <c r="AQ74" t="inlineStr">
        <is>
          <t>Yes</t>
        </is>
      </c>
      <c r="AR74">
        <f>HYPERLINK("http://catalog.hathitrust.org/Record/000200912","HathiTrust Record")</f>
        <v/>
      </c>
      <c r="AS74">
        <f>HYPERLINK("https://creighton-primo.hosted.exlibrisgroup.com/primo-explore/search?tab=default_tab&amp;search_scope=EVERYTHING&amp;vid=01CRU&amp;lang=en_US&amp;offset=0&amp;query=any,contains,991000895709702656","Catalog Record")</f>
        <v/>
      </c>
      <c r="AT74">
        <f>HYPERLINK("http://www.worldcat.org/oclc/8953922","WorldCat Record")</f>
        <v/>
      </c>
      <c r="AU74" t="inlineStr">
        <is>
          <t>3769323933:eng</t>
        </is>
      </c>
      <c r="AV74" t="inlineStr">
        <is>
          <t>8953922</t>
        </is>
      </c>
      <c r="AW74" t="inlineStr">
        <is>
          <t>991000895709702656</t>
        </is>
      </c>
      <c r="AX74" t="inlineStr">
        <is>
          <t>991000895709702656</t>
        </is>
      </c>
      <c r="AY74" t="inlineStr">
        <is>
          <t>2269700910002656</t>
        </is>
      </c>
      <c r="AZ74" t="inlineStr">
        <is>
          <t>BOOK</t>
        </is>
      </c>
      <c r="BB74" t="inlineStr">
        <is>
          <t>9780471103233</t>
        </is>
      </c>
      <c r="BC74" t="inlineStr">
        <is>
          <t>30001000155731</t>
        </is>
      </c>
      <c r="BD74" t="inlineStr">
        <is>
          <t>893120687</t>
        </is>
      </c>
    </row>
    <row r="75">
      <c r="A75" t="inlineStr">
        <is>
          <t>No</t>
        </is>
      </c>
      <c r="B75" t="inlineStr">
        <is>
          <t>QU 25 E21p 1991</t>
        </is>
      </c>
      <c r="C75" t="inlineStr">
        <is>
          <t>0                      QU 0025000E  21p         1991</t>
        </is>
      </c>
      <c r="D75" t="inlineStr">
        <is>
          <t>Protein methods / Stuart J. Edelstein, Daniel M. Bollag.</t>
        </is>
      </c>
      <c r="F75" t="inlineStr">
        <is>
          <t>No</t>
        </is>
      </c>
      <c r="G75" t="inlineStr">
        <is>
          <t>1</t>
        </is>
      </c>
      <c r="H75" t="inlineStr">
        <is>
          <t>No</t>
        </is>
      </c>
      <c r="I75" t="inlineStr">
        <is>
          <t>No</t>
        </is>
      </c>
      <c r="J75" t="inlineStr">
        <is>
          <t>0</t>
        </is>
      </c>
      <c r="K75" t="inlineStr">
        <is>
          <t>Edelstein, Stuart J.</t>
        </is>
      </c>
      <c r="L75" t="inlineStr">
        <is>
          <t>New York, NY : Wiley-Liss, c1991.</t>
        </is>
      </c>
      <c r="M75" t="inlineStr">
        <is>
          <t>1991</t>
        </is>
      </c>
      <c r="O75" t="inlineStr">
        <is>
          <t>eng</t>
        </is>
      </c>
      <c r="P75" t="inlineStr">
        <is>
          <t>xxu</t>
        </is>
      </c>
      <c r="R75" t="inlineStr">
        <is>
          <t xml:space="preserve">QU </t>
        </is>
      </c>
      <c r="S75" t="n">
        <v>38</v>
      </c>
      <c r="T75" t="n">
        <v>38</v>
      </c>
      <c r="U75" t="inlineStr">
        <is>
          <t>2010-01-12</t>
        </is>
      </c>
      <c r="V75" t="inlineStr">
        <is>
          <t>2010-01-12</t>
        </is>
      </c>
      <c r="W75" t="inlineStr">
        <is>
          <t>1991-04-24</t>
        </is>
      </c>
      <c r="X75" t="inlineStr">
        <is>
          <t>1991-04-24</t>
        </is>
      </c>
      <c r="Y75" t="n">
        <v>287</v>
      </c>
      <c r="Z75" t="n">
        <v>198</v>
      </c>
      <c r="AA75" t="n">
        <v>359</v>
      </c>
      <c r="AB75" t="n">
        <v>1</v>
      </c>
      <c r="AC75" t="n">
        <v>2</v>
      </c>
      <c r="AD75" t="n">
        <v>7</v>
      </c>
      <c r="AE75" t="n">
        <v>13</v>
      </c>
      <c r="AF75" t="n">
        <v>1</v>
      </c>
      <c r="AG75" t="n">
        <v>4</v>
      </c>
      <c r="AH75" t="n">
        <v>4</v>
      </c>
      <c r="AI75" t="n">
        <v>4</v>
      </c>
      <c r="AJ75" t="n">
        <v>5</v>
      </c>
      <c r="AK75" t="n">
        <v>8</v>
      </c>
      <c r="AL75" t="n">
        <v>0</v>
      </c>
      <c r="AM75" t="n">
        <v>1</v>
      </c>
      <c r="AN75" t="n">
        <v>0</v>
      </c>
      <c r="AO75" t="n">
        <v>0</v>
      </c>
      <c r="AP75" t="inlineStr">
        <is>
          <t>No</t>
        </is>
      </c>
      <c r="AQ75" t="inlineStr">
        <is>
          <t>Yes</t>
        </is>
      </c>
      <c r="AR75">
        <f>HYPERLINK("http://catalog.hathitrust.org/Record/002426385","HathiTrust Record")</f>
        <v/>
      </c>
      <c r="AS75">
        <f>HYPERLINK("https://creighton-primo.hosted.exlibrisgroup.com/primo-explore/search?tab=default_tab&amp;search_scope=EVERYTHING&amp;vid=01CRU&amp;lang=en_US&amp;offset=0&amp;query=any,contains,991000933179702656","Catalog Record")</f>
        <v/>
      </c>
      <c r="AT75">
        <f>HYPERLINK("http://www.worldcat.org/oclc/22490767","WorldCat Record")</f>
        <v/>
      </c>
      <c r="AU75" t="inlineStr">
        <is>
          <t>24548887:eng</t>
        </is>
      </c>
      <c r="AV75" t="inlineStr">
        <is>
          <t>22490767</t>
        </is>
      </c>
      <c r="AW75" t="inlineStr">
        <is>
          <t>991000933179702656</t>
        </is>
      </c>
      <c r="AX75" t="inlineStr">
        <is>
          <t>991000933179702656</t>
        </is>
      </c>
      <c r="AY75" t="inlineStr">
        <is>
          <t>2265200120002656</t>
        </is>
      </c>
      <c r="AZ75" t="inlineStr">
        <is>
          <t>BOOK</t>
        </is>
      </c>
      <c r="BB75" t="inlineStr">
        <is>
          <t>9780471568711</t>
        </is>
      </c>
      <c r="BC75" t="inlineStr">
        <is>
          <t>30001002190215</t>
        </is>
      </c>
      <c r="BD75" t="inlineStr">
        <is>
          <t>893450621</t>
        </is>
      </c>
    </row>
    <row r="76">
      <c r="A76" t="inlineStr">
        <is>
          <t>No</t>
        </is>
      </c>
      <c r="B76" t="inlineStr">
        <is>
          <t>QU 25 G3215 1981</t>
        </is>
      </c>
      <c r="C76" t="inlineStr">
        <is>
          <t>0                      QU 0025000G  3215        1981</t>
        </is>
      </c>
      <c r="D76" t="inlineStr">
        <is>
          <t>Gel electrophoresis of proteins : a practical approach / edited by B.D. Hames, D. Rickwood.</t>
        </is>
      </c>
      <c r="F76" t="inlineStr">
        <is>
          <t>No</t>
        </is>
      </c>
      <c r="G76" t="inlineStr">
        <is>
          <t>1</t>
        </is>
      </c>
      <c r="H76" t="inlineStr">
        <is>
          <t>Yes</t>
        </is>
      </c>
      <c r="I76" t="inlineStr">
        <is>
          <t>Yes</t>
        </is>
      </c>
      <c r="J76" t="inlineStr">
        <is>
          <t>1</t>
        </is>
      </c>
      <c r="L76" t="inlineStr">
        <is>
          <t>London ; Washington, D.C. : IRL Press, c1981.</t>
        </is>
      </c>
      <c r="M76" t="inlineStr">
        <is>
          <t>1981</t>
        </is>
      </c>
      <c r="O76" t="inlineStr">
        <is>
          <t>eng</t>
        </is>
      </c>
      <c r="P76" t="inlineStr">
        <is>
          <t>enk</t>
        </is>
      </c>
      <c r="R76" t="inlineStr">
        <is>
          <t xml:space="preserve">QU </t>
        </is>
      </c>
      <c r="S76" t="n">
        <v>8</v>
      </c>
      <c r="T76" t="n">
        <v>8</v>
      </c>
      <c r="U76" t="inlineStr">
        <is>
          <t>2001-08-27</t>
        </is>
      </c>
      <c r="V76" t="inlineStr">
        <is>
          <t>2001-08-27</t>
        </is>
      </c>
      <c r="W76" t="inlineStr">
        <is>
          <t>1989-09-08</t>
        </is>
      </c>
      <c r="X76" t="inlineStr">
        <is>
          <t>1989-09-08</t>
        </is>
      </c>
      <c r="Y76" t="n">
        <v>566</v>
      </c>
      <c r="Z76" t="n">
        <v>370</v>
      </c>
      <c r="AA76" t="n">
        <v>1241</v>
      </c>
      <c r="AB76" t="n">
        <v>7</v>
      </c>
      <c r="AC76" t="n">
        <v>17</v>
      </c>
      <c r="AD76" t="n">
        <v>16</v>
      </c>
      <c r="AE76" t="n">
        <v>47</v>
      </c>
      <c r="AF76" t="n">
        <v>5</v>
      </c>
      <c r="AG76" t="n">
        <v>16</v>
      </c>
      <c r="AH76" t="n">
        <v>5</v>
      </c>
      <c r="AI76" t="n">
        <v>12</v>
      </c>
      <c r="AJ76" t="n">
        <v>4</v>
      </c>
      <c r="AK76" t="n">
        <v>14</v>
      </c>
      <c r="AL76" t="n">
        <v>5</v>
      </c>
      <c r="AM76" t="n">
        <v>14</v>
      </c>
      <c r="AN76" t="n">
        <v>0</v>
      </c>
      <c r="AO76" t="n">
        <v>1</v>
      </c>
      <c r="AP76" t="inlineStr">
        <is>
          <t>No</t>
        </is>
      </c>
      <c r="AQ76" t="inlineStr">
        <is>
          <t>Yes</t>
        </is>
      </c>
      <c r="AR76">
        <f>HYPERLINK("http://catalog.hathitrust.org/Record/000187729","HathiTrust Record")</f>
        <v/>
      </c>
      <c r="AS76">
        <f>HYPERLINK("https://creighton-primo.hosted.exlibrisgroup.com/primo-explore/search?tab=default_tab&amp;search_scope=EVERYTHING&amp;vid=01CRU&amp;lang=en_US&amp;offset=0&amp;query=any,contains,991000895679702656","Catalog Record")</f>
        <v/>
      </c>
      <c r="AT76">
        <f>HYPERLINK("http://www.worldcat.org/oclc/9043632","WorldCat Record")</f>
        <v/>
      </c>
      <c r="AU76" t="inlineStr">
        <is>
          <t>793877437:eng</t>
        </is>
      </c>
      <c r="AV76" t="inlineStr">
        <is>
          <t>9043632</t>
        </is>
      </c>
      <c r="AW76" t="inlineStr">
        <is>
          <t>991000895679702656</t>
        </is>
      </c>
      <c r="AX76" t="inlineStr">
        <is>
          <t>991000895679702656</t>
        </is>
      </c>
      <c r="AY76" t="inlineStr">
        <is>
          <t>2272328580002656</t>
        </is>
      </c>
      <c r="AZ76" t="inlineStr">
        <is>
          <t>BOOK</t>
        </is>
      </c>
      <c r="BB76" t="inlineStr">
        <is>
          <t>9780904147223</t>
        </is>
      </c>
      <c r="BC76" t="inlineStr">
        <is>
          <t>30001000155699</t>
        </is>
      </c>
      <c r="BD76" t="inlineStr">
        <is>
          <t>893736000</t>
        </is>
      </c>
    </row>
    <row r="77">
      <c r="A77" t="inlineStr">
        <is>
          <t>No</t>
        </is>
      </c>
      <c r="B77" t="inlineStr">
        <is>
          <t>QU25 G5688 2000</t>
        </is>
      </c>
      <c r="C77" t="inlineStr">
        <is>
          <t>0                      QU 0025000G  5688        2000</t>
        </is>
      </c>
      <c r="D77" t="inlineStr">
        <is>
          <t>Glycoprotein methods and protocols : the mucins / edited by Anthony P. Corfield.</t>
        </is>
      </c>
      <c r="F77" t="inlineStr">
        <is>
          <t>No</t>
        </is>
      </c>
      <c r="G77" t="inlineStr">
        <is>
          <t>1</t>
        </is>
      </c>
      <c r="H77" t="inlineStr">
        <is>
          <t>No</t>
        </is>
      </c>
      <c r="I77" t="inlineStr">
        <is>
          <t>No</t>
        </is>
      </c>
      <c r="J77" t="inlineStr">
        <is>
          <t>0</t>
        </is>
      </c>
      <c r="L77" t="inlineStr">
        <is>
          <t>Totowa, N.J. : Humana Press, c2000.</t>
        </is>
      </c>
      <c r="M77" t="inlineStr">
        <is>
          <t>2000</t>
        </is>
      </c>
      <c r="O77" t="inlineStr">
        <is>
          <t>eng</t>
        </is>
      </c>
      <c r="P77" t="inlineStr">
        <is>
          <t>nju</t>
        </is>
      </c>
      <c r="Q77" t="inlineStr">
        <is>
          <t>Methods in molecular biology ; v. 125</t>
        </is>
      </c>
      <c r="R77" t="inlineStr">
        <is>
          <t xml:space="preserve">QU </t>
        </is>
      </c>
      <c r="S77" t="n">
        <v>4</v>
      </c>
      <c r="T77" t="n">
        <v>4</v>
      </c>
      <c r="U77" t="inlineStr">
        <is>
          <t>2005-02-09</t>
        </is>
      </c>
      <c r="V77" t="inlineStr">
        <is>
          <t>2005-02-09</t>
        </is>
      </c>
      <c r="W77" t="inlineStr">
        <is>
          <t>2004-11-10</t>
        </is>
      </c>
      <c r="X77" t="inlineStr">
        <is>
          <t>2004-11-10</t>
        </is>
      </c>
      <c r="Y77" t="n">
        <v>141</v>
      </c>
      <c r="Z77" t="n">
        <v>95</v>
      </c>
      <c r="AA77" t="n">
        <v>167</v>
      </c>
      <c r="AB77" t="n">
        <v>2</v>
      </c>
      <c r="AC77" t="n">
        <v>3</v>
      </c>
      <c r="AD77" t="n">
        <v>2</v>
      </c>
      <c r="AE77" t="n">
        <v>5</v>
      </c>
      <c r="AF77" t="n">
        <v>0</v>
      </c>
      <c r="AG77" t="n">
        <v>1</v>
      </c>
      <c r="AH77" t="n">
        <v>0</v>
      </c>
      <c r="AI77" t="n">
        <v>1</v>
      </c>
      <c r="AJ77" t="n">
        <v>1</v>
      </c>
      <c r="AK77" t="n">
        <v>2</v>
      </c>
      <c r="AL77" t="n">
        <v>1</v>
      </c>
      <c r="AM77" t="n">
        <v>2</v>
      </c>
      <c r="AN77" t="n">
        <v>0</v>
      </c>
      <c r="AO77" t="n">
        <v>0</v>
      </c>
      <c r="AP77" t="inlineStr">
        <is>
          <t>No</t>
        </is>
      </c>
      <c r="AQ77" t="inlineStr">
        <is>
          <t>Yes</t>
        </is>
      </c>
      <c r="AR77">
        <f>HYPERLINK("http://catalog.hathitrust.org/Record/004092360","HathiTrust Record")</f>
        <v/>
      </c>
      <c r="AS77">
        <f>HYPERLINK("https://creighton-primo.hosted.exlibrisgroup.com/primo-explore/search?tab=default_tab&amp;search_scope=EVERYTHING&amp;vid=01CRU&amp;lang=en_US&amp;offset=0&amp;query=any,contains,991000409549702656","Catalog Record")</f>
        <v/>
      </c>
      <c r="AT77">
        <f>HYPERLINK("http://www.worldcat.org/oclc/40965001","WorldCat Record")</f>
        <v/>
      </c>
      <c r="AU77" t="inlineStr">
        <is>
          <t>1034433755:eng</t>
        </is>
      </c>
      <c r="AV77" t="inlineStr">
        <is>
          <t>40965001</t>
        </is>
      </c>
      <c r="AW77" t="inlineStr">
        <is>
          <t>991000409549702656</t>
        </is>
      </c>
      <c r="AX77" t="inlineStr">
        <is>
          <t>991000409549702656</t>
        </is>
      </c>
      <c r="AY77" t="inlineStr">
        <is>
          <t>2267924730002656</t>
        </is>
      </c>
      <c r="AZ77" t="inlineStr">
        <is>
          <t>BOOK</t>
        </is>
      </c>
      <c r="BB77" t="inlineStr">
        <is>
          <t>9780896037205</t>
        </is>
      </c>
      <c r="BC77" t="inlineStr">
        <is>
          <t>30001004924926</t>
        </is>
      </c>
      <c r="BD77" t="inlineStr">
        <is>
          <t>893275041</t>
        </is>
      </c>
    </row>
    <row r="78">
      <c r="A78" t="inlineStr">
        <is>
          <t>No</t>
        </is>
      </c>
      <c r="B78" t="inlineStr">
        <is>
          <t>QU 25 H121i 1984</t>
        </is>
      </c>
      <c r="C78" t="inlineStr">
        <is>
          <t>0                      QU 0025000H  121i        1984</t>
        </is>
      </c>
      <c r="D78" t="inlineStr">
        <is>
          <t>An introduction to recombinant DNA techniques : basic experiments in gene manipulation / Perry B. Hackett, James A. Fuchs, Joachim W. Messing.</t>
        </is>
      </c>
      <c r="F78" t="inlineStr">
        <is>
          <t>No</t>
        </is>
      </c>
      <c r="G78" t="inlineStr">
        <is>
          <t>1</t>
        </is>
      </c>
      <c r="H78" t="inlineStr">
        <is>
          <t>No</t>
        </is>
      </c>
      <c r="I78" t="inlineStr">
        <is>
          <t>No</t>
        </is>
      </c>
      <c r="J78" t="inlineStr">
        <is>
          <t>0</t>
        </is>
      </c>
      <c r="K78" t="inlineStr">
        <is>
          <t>Hackett, Perry B.</t>
        </is>
      </c>
      <c r="L78" t="inlineStr">
        <is>
          <t>Menlo Park, Calif. : Benjamin/Cummings, c1984.</t>
        </is>
      </c>
      <c r="M78" t="inlineStr">
        <is>
          <t>1984</t>
        </is>
      </c>
      <c r="O78" t="inlineStr">
        <is>
          <t>eng</t>
        </is>
      </c>
      <c r="P78" t="inlineStr">
        <is>
          <t>xxu</t>
        </is>
      </c>
      <c r="Q78" t="inlineStr">
        <is>
          <t>Benjamin/Cummings series in the life sciences</t>
        </is>
      </c>
      <c r="R78" t="inlineStr">
        <is>
          <t xml:space="preserve">QU </t>
        </is>
      </c>
      <c r="S78" t="n">
        <v>5</v>
      </c>
      <c r="T78" t="n">
        <v>5</v>
      </c>
      <c r="U78" t="inlineStr">
        <is>
          <t>1998-05-06</t>
        </is>
      </c>
      <c r="V78" t="inlineStr">
        <is>
          <t>1998-05-06</t>
        </is>
      </c>
      <c r="W78" t="inlineStr">
        <is>
          <t>1988-01-26</t>
        </is>
      </c>
      <c r="X78" t="inlineStr">
        <is>
          <t>1988-01-26</t>
        </is>
      </c>
      <c r="Y78" t="n">
        <v>291</v>
      </c>
      <c r="Z78" t="n">
        <v>218</v>
      </c>
      <c r="AA78" t="n">
        <v>303</v>
      </c>
      <c r="AB78" t="n">
        <v>3</v>
      </c>
      <c r="AC78" t="n">
        <v>3</v>
      </c>
      <c r="AD78" t="n">
        <v>10</v>
      </c>
      <c r="AE78" t="n">
        <v>12</v>
      </c>
      <c r="AF78" t="n">
        <v>2</v>
      </c>
      <c r="AG78" t="n">
        <v>2</v>
      </c>
      <c r="AH78" t="n">
        <v>1</v>
      </c>
      <c r="AI78" t="n">
        <v>2</v>
      </c>
      <c r="AJ78" t="n">
        <v>7</v>
      </c>
      <c r="AK78" t="n">
        <v>8</v>
      </c>
      <c r="AL78" t="n">
        <v>2</v>
      </c>
      <c r="AM78" t="n">
        <v>2</v>
      </c>
      <c r="AN78" t="n">
        <v>0</v>
      </c>
      <c r="AO78" t="n">
        <v>0</v>
      </c>
      <c r="AP78" t="inlineStr">
        <is>
          <t>No</t>
        </is>
      </c>
      <c r="AQ78" t="inlineStr">
        <is>
          <t>Yes</t>
        </is>
      </c>
      <c r="AR78">
        <f>HYPERLINK("http://catalog.hathitrust.org/Record/000574122","HathiTrust Record")</f>
        <v/>
      </c>
      <c r="AS78">
        <f>HYPERLINK("https://creighton-primo.hosted.exlibrisgroup.com/primo-explore/search?tab=default_tab&amp;search_scope=EVERYTHING&amp;vid=01CRU&amp;lang=en_US&amp;offset=0&amp;query=any,contains,991000895599702656","Catalog Record")</f>
        <v/>
      </c>
      <c r="AT78">
        <f>HYPERLINK("http://www.worldcat.org/oclc/10046273","WorldCat Record")</f>
        <v/>
      </c>
      <c r="AU78" t="inlineStr">
        <is>
          <t>3784278:eng</t>
        </is>
      </c>
      <c r="AV78" t="inlineStr">
        <is>
          <t>10046273</t>
        </is>
      </c>
      <c r="AW78" t="inlineStr">
        <is>
          <t>991000895599702656</t>
        </is>
      </c>
      <c r="AX78" t="inlineStr">
        <is>
          <t>991000895599702656</t>
        </is>
      </c>
      <c r="AY78" t="inlineStr">
        <is>
          <t>2264978760002656</t>
        </is>
      </c>
      <c r="AZ78" t="inlineStr">
        <is>
          <t>BOOK</t>
        </is>
      </c>
      <c r="BB78" t="inlineStr">
        <is>
          <t>9780805336726</t>
        </is>
      </c>
      <c r="BC78" t="inlineStr">
        <is>
          <t>30001000155681</t>
        </is>
      </c>
      <c r="BD78" t="inlineStr">
        <is>
          <t>893267688</t>
        </is>
      </c>
    </row>
    <row r="79">
      <c r="A79" t="inlineStr">
        <is>
          <t>No</t>
        </is>
      </c>
      <c r="B79" t="inlineStr">
        <is>
          <t>QU 25 I61 1980</t>
        </is>
      </c>
      <c r="C79" t="inlineStr">
        <is>
          <t>0                      QU 0025000I  61          1980</t>
        </is>
      </c>
      <c r="D79" t="inlineStr">
        <is>
          <t>An Introduction to spectroscopy for biochemists / edited by S.B. Brown.</t>
        </is>
      </c>
      <c r="F79" t="inlineStr">
        <is>
          <t>No</t>
        </is>
      </c>
      <c r="G79" t="inlineStr">
        <is>
          <t>1</t>
        </is>
      </c>
      <c r="H79" t="inlineStr">
        <is>
          <t>No</t>
        </is>
      </c>
      <c r="I79" t="inlineStr">
        <is>
          <t>No</t>
        </is>
      </c>
      <c r="J79" t="inlineStr">
        <is>
          <t>0</t>
        </is>
      </c>
      <c r="L79" t="inlineStr">
        <is>
          <t>London ; New York : Academic Press, c1980.</t>
        </is>
      </c>
      <c r="M79" t="inlineStr">
        <is>
          <t>1980</t>
        </is>
      </c>
      <c r="O79" t="inlineStr">
        <is>
          <t>eng</t>
        </is>
      </c>
      <c r="P79" t="inlineStr">
        <is>
          <t>enk</t>
        </is>
      </c>
      <c r="R79" t="inlineStr">
        <is>
          <t xml:space="preserve">QU </t>
        </is>
      </c>
      <c r="S79" t="n">
        <v>1</v>
      </c>
      <c r="T79" t="n">
        <v>1</v>
      </c>
      <c r="U79" t="inlineStr">
        <is>
          <t>1993-05-04</t>
        </is>
      </c>
      <c r="V79" t="inlineStr">
        <is>
          <t>1993-05-04</t>
        </is>
      </c>
      <c r="W79" t="inlineStr">
        <is>
          <t>1988-01-26</t>
        </is>
      </c>
      <c r="X79" t="inlineStr">
        <is>
          <t>1988-01-26</t>
        </is>
      </c>
      <c r="Y79" t="n">
        <v>367</v>
      </c>
      <c r="Z79" t="n">
        <v>261</v>
      </c>
      <c r="AA79" t="n">
        <v>268</v>
      </c>
      <c r="AB79" t="n">
        <v>2</v>
      </c>
      <c r="AC79" t="n">
        <v>2</v>
      </c>
      <c r="AD79" t="n">
        <v>11</v>
      </c>
      <c r="AE79" t="n">
        <v>11</v>
      </c>
      <c r="AF79" t="n">
        <v>2</v>
      </c>
      <c r="AG79" t="n">
        <v>2</v>
      </c>
      <c r="AH79" t="n">
        <v>5</v>
      </c>
      <c r="AI79" t="n">
        <v>5</v>
      </c>
      <c r="AJ79" t="n">
        <v>7</v>
      </c>
      <c r="AK79" t="n">
        <v>7</v>
      </c>
      <c r="AL79" t="n">
        <v>1</v>
      </c>
      <c r="AM79" t="n">
        <v>1</v>
      </c>
      <c r="AN79" t="n">
        <v>0</v>
      </c>
      <c r="AO79" t="n">
        <v>0</v>
      </c>
      <c r="AP79" t="inlineStr">
        <is>
          <t>No</t>
        </is>
      </c>
      <c r="AQ79" t="inlineStr">
        <is>
          <t>Yes</t>
        </is>
      </c>
      <c r="AR79">
        <f>HYPERLINK("http://catalog.hathitrust.org/Record/008331314","HathiTrust Record")</f>
        <v/>
      </c>
      <c r="AS79">
        <f>HYPERLINK("https://creighton-primo.hosted.exlibrisgroup.com/primo-explore/search?tab=default_tab&amp;search_scope=EVERYTHING&amp;vid=01CRU&amp;lang=en_US&amp;offset=0&amp;query=any,contains,991000895509702656","Catalog Record")</f>
        <v/>
      </c>
      <c r="AT79">
        <f>HYPERLINK("http://www.worldcat.org/oclc/6806572","WorldCat Record")</f>
        <v/>
      </c>
      <c r="AU79" t="inlineStr">
        <is>
          <t>365237901:eng</t>
        </is>
      </c>
      <c r="AV79" t="inlineStr">
        <is>
          <t>6806572</t>
        </is>
      </c>
      <c r="AW79" t="inlineStr">
        <is>
          <t>991000895509702656</t>
        </is>
      </c>
      <c r="AX79" t="inlineStr">
        <is>
          <t>991000895509702656</t>
        </is>
      </c>
      <c r="AY79" t="inlineStr">
        <is>
          <t>2264060040002656</t>
        </is>
      </c>
      <c r="AZ79" t="inlineStr">
        <is>
          <t>BOOK</t>
        </is>
      </c>
      <c r="BB79" t="inlineStr">
        <is>
          <t>9780121370800</t>
        </is>
      </c>
      <c r="BC79" t="inlineStr">
        <is>
          <t>30001000155665</t>
        </is>
      </c>
      <c r="BD79" t="inlineStr">
        <is>
          <t>893651798</t>
        </is>
      </c>
    </row>
    <row r="80">
      <c r="A80" t="inlineStr">
        <is>
          <t>No</t>
        </is>
      </c>
      <c r="B80" t="inlineStr">
        <is>
          <t>QU 25 K39h 1987</t>
        </is>
      </c>
      <c r="C80" t="inlineStr">
        <is>
          <t>0                      QU 0025000K  39h         1987</t>
        </is>
      </c>
      <c r="D80" t="inlineStr">
        <is>
          <t>High-resolution electrophoresis and immunofixation : techniques and interpretation / David F. Keren.</t>
        </is>
      </c>
      <c r="F80" t="inlineStr">
        <is>
          <t>No</t>
        </is>
      </c>
      <c r="G80" t="inlineStr">
        <is>
          <t>1</t>
        </is>
      </c>
      <c r="H80" t="inlineStr">
        <is>
          <t>No</t>
        </is>
      </c>
      <c r="I80" t="inlineStr">
        <is>
          <t>No</t>
        </is>
      </c>
      <c r="J80" t="inlineStr">
        <is>
          <t>0</t>
        </is>
      </c>
      <c r="K80" t="inlineStr">
        <is>
          <t>Keren, David F.</t>
        </is>
      </c>
      <c r="L80" t="inlineStr">
        <is>
          <t>Boston : Butterworths, c1987.</t>
        </is>
      </c>
      <c r="M80" t="inlineStr">
        <is>
          <t>1987</t>
        </is>
      </c>
      <c r="O80" t="inlineStr">
        <is>
          <t>eng</t>
        </is>
      </c>
      <c r="P80" t="inlineStr">
        <is>
          <t>xxu</t>
        </is>
      </c>
      <c r="R80" t="inlineStr">
        <is>
          <t xml:space="preserve">QU </t>
        </is>
      </c>
      <c r="S80" t="n">
        <v>3</v>
      </c>
      <c r="T80" t="n">
        <v>3</v>
      </c>
      <c r="U80" t="inlineStr">
        <is>
          <t>1994-03-04</t>
        </is>
      </c>
      <c r="V80" t="inlineStr">
        <is>
          <t>1994-03-04</t>
        </is>
      </c>
      <c r="W80" t="inlineStr">
        <is>
          <t>1987-12-10</t>
        </is>
      </c>
      <c r="X80" t="inlineStr">
        <is>
          <t>1987-12-10</t>
        </is>
      </c>
      <c r="Y80" t="n">
        <v>92</v>
      </c>
      <c r="Z80" t="n">
        <v>63</v>
      </c>
      <c r="AA80" t="n">
        <v>143</v>
      </c>
      <c r="AB80" t="n">
        <v>1</v>
      </c>
      <c r="AC80" t="n">
        <v>1</v>
      </c>
      <c r="AD80" t="n">
        <v>0</v>
      </c>
      <c r="AE80" t="n">
        <v>5</v>
      </c>
      <c r="AF80" t="n">
        <v>0</v>
      </c>
      <c r="AG80" t="n">
        <v>2</v>
      </c>
      <c r="AH80" t="n">
        <v>0</v>
      </c>
      <c r="AI80" t="n">
        <v>3</v>
      </c>
      <c r="AJ80" t="n">
        <v>0</v>
      </c>
      <c r="AK80" t="n">
        <v>1</v>
      </c>
      <c r="AL80" t="n">
        <v>0</v>
      </c>
      <c r="AM80" t="n">
        <v>0</v>
      </c>
      <c r="AN80" t="n">
        <v>0</v>
      </c>
      <c r="AO80" t="n">
        <v>0</v>
      </c>
      <c r="AP80" t="inlineStr">
        <is>
          <t>No</t>
        </is>
      </c>
      <c r="AQ80" t="inlineStr">
        <is>
          <t>Yes</t>
        </is>
      </c>
      <c r="AR80">
        <f>HYPERLINK("http://catalog.hathitrust.org/Record/000834376","HathiTrust Record")</f>
        <v/>
      </c>
      <c r="AS80">
        <f>HYPERLINK("https://creighton-primo.hosted.exlibrisgroup.com/primo-explore/search?tab=default_tab&amp;search_scope=EVERYTHING&amp;vid=01CRU&amp;lang=en_US&amp;offset=0&amp;query=any,contains,991001533659702656","Catalog Record")</f>
        <v/>
      </c>
      <c r="AT80">
        <f>HYPERLINK("http://www.worldcat.org/oclc/14187620","WorldCat Record")</f>
        <v/>
      </c>
      <c r="AU80" t="inlineStr">
        <is>
          <t>7761478:eng</t>
        </is>
      </c>
      <c r="AV80" t="inlineStr">
        <is>
          <t>14187620</t>
        </is>
      </c>
      <c r="AW80" t="inlineStr">
        <is>
          <t>991001533659702656</t>
        </is>
      </c>
      <c r="AX80" t="inlineStr">
        <is>
          <t>991001533659702656</t>
        </is>
      </c>
      <c r="AY80" t="inlineStr">
        <is>
          <t>2271448830002656</t>
        </is>
      </c>
      <c r="AZ80" t="inlineStr">
        <is>
          <t>BOOK</t>
        </is>
      </c>
      <c r="BB80" t="inlineStr">
        <is>
          <t>9780409900217</t>
        </is>
      </c>
      <c r="BC80" t="inlineStr">
        <is>
          <t>30001000622250</t>
        </is>
      </c>
      <c r="BD80" t="inlineStr">
        <is>
          <t>893268586</t>
        </is>
      </c>
    </row>
    <row r="81">
      <c r="A81" t="inlineStr">
        <is>
          <t>No</t>
        </is>
      </c>
      <c r="B81" t="inlineStr">
        <is>
          <t>QU 25 L123 1983 v.11</t>
        </is>
      </c>
      <c r="C81" t="inlineStr">
        <is>
          <t>0                      QU 0025000L  123         1983                                        v.11</t>
        </is>
      </c>
      <c r="D81" t="inlineStr">
        <is>
          <t>Isoelectric focusing : theory, methodology, and applications / Pier Giorgio Righetti.</t>
        </is>
      </c>
      <c r="E81" t="inlineStr">
        <is>
          <t>V.11</t>
        </is>
      </c>
      <c r="F81" t="inlineStr">
        <is>
          <t>No</t>
        </is>
      </c>
      <c r="G81" t="inlineStr">
        <is>
          <t>1</t>
        </is>
      </c>
      <c r="H81" t="inlineStr">
        <is>
          <t>Yes</t>
        </is>
      </c>
      <c r="I81" t="inlineStr">
        <is>
          <t>No</t>
        </is>
      </c>
      <c r="J81" t="inlineStr">
        <is>
          <t>0</t>
        </is>
      </c>
      <c r="K81" t="inlineStr">
        <is>
          <t>Righetti, P. G.</t>
        </is>
      </c>
      <c r="L81" t="inlineStr">
        <is>
          <t>Amsterdam ; New York : Elsevier Biomedical Press ; New York : Sole distributors for the U.S.A. and Canada, Elsevier-North Holland, 1983.</t>
        </is>
      </c>
      <c r="M81" t="inlineStr">
        <is>
          <t>1983</t>
        </is>
      </c>
      <c r="O81" t="inlineStr">
        <is>
          <t>eng</t>
        </is>
      </c>
      <c r="P81" t="inlineStr">
        <is>
          <t xml:space="preserve">ne </t>
        </is>
      </c>
      <c r="Q81" t="inlineStr">
        <is>
          <t>Laboratory techniques in biochemistry and molecular biology ; v. 11</t>
        </is>
      </c>
      <c r="R81" t="inlineStr">
        <is>
          <t xml:space="preserve">QU </t>
        </is>
      </c>
      <c r="S81" t="n">
        <v>6</v>
      </c>
      <c r="T81" t="n">
        <v>6</v>
      </c>
      <c r="U81" t="inlineStr">
        <is>
          <t>1995-04-19</t>
        </is>
      </c>
      <c r="V81" t="inlineStr">
        <is>
          <t>1995-04-19</t>
        </is>
      </c>
      <c r="W81" t="inlineStr">
        <is>
          <t>1988-01-26</t>
        </is>
      </c>
      <c r="X81" t="inlineStr">
        <is>
          <t>1988-01-26</t>
        </is>
      </c>
      <c r="Y81" t="n">
        <v>332</v>
      </c>
      <c r="Z81" t="n">
        <v>188</v>
      </c>
      <c r="AA81" t="n">
        <v>293</v>
      </c>
      <c r="AB81" t="n">
        <v>2</v>
      </c>
      <c r="AC81" t="n">
        <v>3</v>
      </c>
      <c r="AD81" t="n">
        <v>7</v>
      </c>
      <c r="AE81" t="n">
        <v>10</v>
      </c>
      <c r="AF81" t="n">
        <v>0</v>
      </c>
      <c r="AG81" t="n">
        <v>2</v>
      </c>
      <c r="AH81" t="n">
        <v>4</v>
      </c>
      <c r="AI81" t="n">
        <v>4</v>
      </c>
      <c r="AJ81" t="n">
        <v>5</v>
      </c>
      <c r="AK81" t="n">
        <v>6</v>
      </c>
      <c r="AL81" t="n">
        <v>0</v>
      </c>
      <c r="AM81" t="n">
        <v>1</v>
      </c>
      <c r="AN81" t="n">
        <v>0</v>
      </c>
      <c r="AO81" t="n">
        <v>0</v>
      </c>
      <c r="AP81" t="inlineStr">
        <is>
          <t>No</t>
        </is>
      </c>
      <c r="AQ81" t="inlineStr">
        <is>
          <t>Yes</t>
        </is>
      </c>
      <c r="AR81">
        <f>HYPERLINK("http://catalog.hathitrust.org/Record/006197734","HathiTrust Record")</f>
        <v/>
      </c>
      <c r="AS81">
        <f>HYPERLINK("https://creighton-primo.hosted.exlibrisgroup.com/primo-explore/search?tab=default_tab&amp;search_scope=EVERYTHING&amp;vid=01CRU&amp;lang=en_US&amp;offset=0&amp;query=any,contains,991000895459702656","Catalog Record")</f>
        <v/>
      </c>
      <c r="AT81">
        <f>HYPERLINK("http://www.worldcat.org/oclc/9111532","WorldCat Record")</f>
        <v/>
      </c>
      <c r="AU81" t="inlineStr">
        <is>
          <t>42617709:eng</t>
        </is>
      </c>
      <c r="AV81" t="inlineStr">
        <is>
          <t>9111532</t>
        </is>
      </c>
      <c r="AW81" t="inlineStr">
        <is>
          <t>991000895459702656</t>
        </is>
      </c>
      <c r="AX81" t="inlineStr">
        <is>
          <t>991000895459702656</t>
        </is>
      </c>
      <c r="AY81" t="inlineStr">
        <is>
          <t>2255290910002656</t>
        </is>
      </c>
      <c r="AZ81" t="inlineStr">
        <is>
          <t>BOOK</t>
        </is>
      </c>
      <c r="BB81" t="inlineStr">
        <is>
          <t>9780444804679</t>
        </is>
      </c>
      <c r="BC81" t="inlineStr">
        <is>
          <t>30001000155616</t>
        </is>
      </c>
      <c r="BD81" t="inlineStr">
        <is>
          <t>893546168</t>
        </is>
      </c>
    </row>
    <row r="82">
      <c r="A82" t="inlineStr">
        <is>
          <t>No</t>
        </is>
      </c>
      <c r="B82" t="inlineStr">
        <is>
          <t>QU 25 L123a 1987 v.17</t>
        </is>
      </c>
      <c r="C82" t="inlineStr">
        <is>
          <t>0                      QU 0025000L  123a        1987                                        v.17</t>
        </is>
      </c>
      <c r="D82" t="inlineStr">
        <is>
          <t>Applications of HPLC in biochemistry / A. Fallon, R.F.G. Booth, and L.D. Bell.</t>
        </is>
      </c>
      <c r="E82" t="inlineStr">
        <is>
          <t>V.17</t>
        </is>
      </c>
      <c r="F82" t="inlineStr">
        <is>
          <t>No</t>
        </is>
      </c>
      <c r="G82" t="inlineStr">
        <is>
          <t>1</t>
        </is>
      </c>
      <c r="H82" t="inlineStr">
        <is>
          <t>No</t>
        </is>
      </c>
      <c r="I82" t="inlineStr">
        <is>
          <t>No</t>
        </is>
      </c>
      <c r="J82" t="inlineStr">
        <is>
          <t>0</t>
        </is>
      </c>
      <c r="K82" t="inlineStr">
        <is>
          <t>Fallon, A.</t>
        </is>
      </c>
      <c r="L82" t="inlineStr">
        <is>
          <t>Amsterdam ; New York : Elsevier ; New York, NY, U.S.A. : Sole distributors for the U.S.A. and Canada, Elsevier Science Pub. Co., c1987.</t>
        </is>
      </c>
      <c r="M82" t="inlineStr">
        <is>
          <t>1987</t>
        </is>
      </c>
      <c r="O82" t="inlineStr">
        <is>
          <t>eng</t>
        </is>
      </c>
      <c r="P82" t="inlineStr">
        <is>
          <t xml:space="preserve">ne </t>
        </is>
      </c>
      <c r="Q82" t="inlineStr">
        <is>
          <t>Laboratory techniques in biochemistry and molecular biology ; v. 17</t>
        </is>
      </c>
      <c r="R82" t="inlineStr">
        <is>
          <t xml:space="preserve">QU </t>
        </is>
      </c>
      <c r="S82" t="n">
        <v>19</v>
      </c>
      <c r="T82" t="n">
        <v>19</v>
      </c>
      <c r="U82" t="inlineStr">
        <is>
          <t>2002-02-21</t>
        </is>
      </c>
      <c r="V82" t="inlineStr">
        <is>
          <t>2002-02-21</t>
        </is>
      </c>
      <c r="W82" t="inlineStr">
        <is>
          <t>1989-02-24</t>
        </is>
      </c>
      <c r="X82" t="inlineStr">
        <is>
          <t>1989-02-24</t>
        </is>
      </c>
      <c r="Y82" t="n">
        <v>402</v>
      </c>
      <c r="Z82" t="n">
        <v>234</v>
      </c>
      <c r="AA82" t="n">
        <v>281</v>
      </c>
      <c r="AB82" t="n">
        <v>1</v>
      </c>
      <c r="AC82" t="n">
        <v>2</v>
      </c>
      <c r="AD82" t="n">
        <v>8</v>
      </c>
      <c r="AE82" t="n">
        <v>10</v>
      </c>
      <c r="AF82" t="n">
        <v>2</v>
      </c>
      <c r="AG82" t="n">
        <v>3</v>
      </c>
      <c r="AH82" t="n">
        <v>5</v>
      </c>
      <c r="AI82" t="n">
        <v>5</v>
      </c>
      <c r="AJ82" t="n">
        <v>5</v>
      </c>
      <c r="AK82" t="n">
        <v>5</v>
      </c>
      <c r="AL82" t="n">
        <v>0</v>
      </c>
      <c r="AM82" t="n">
        <v>1</v>
      </c>
      <c r="AN82" t="n">
        <v>0</v>
      </c>
      <c r="AO82" t="n">
        <v>0</v>
      </c>
      <c r="AP82" t="inlineStr">
        <is>
          <t>No</t>
        </is>
      </c>
      <c r="AQ82" t="inlineStr">
        <is>
          <t>No</t>
        </is>
      </c>
      <c r="AS82">
        <f>HYPERLINK("https://creighton-primo.hosted.exlibrisgroup.com/primo-explore/search?tab=default_tab&amp;search_scope=EVERYTHING&amp;vid=01CRU&amp;lang=en_US&amp;offset=0&amp;query=any,contains,991001239739702656","Catalog Record")</f>
        <v/>
      </c>
      <c r="AT82">
        <f>HYPERLINK("http://www.worldcat.org/oclc/15365150","WorldCat Record")</f>
        <v/>
      </c>
      <c r="AU82" t="inlineStr">
        <is>
          <t>10066605:eng</t>
        </is>
      </c>
      <c r="AV82" t="inlineStr">
        <is>
          <t>15365150</t>
        </is>
      </c>
      <c r="AW82" t="inlineStr">
        <is>
          <t>991001239739702656</t>
        </is>
      </c>
      <c r="AX82" t="inlineStr">
        <is>
          <t>991001239739702656</t>
        </is>
      </c>
      <c r="AY82" t="inlineStr">
        <is>
          <t>2261323360002656</t>
        </is>
      </c>
      <c r="AZ82" t="inlineStr">
        <is>
          <t>BOOK</t>
        </is>
      </c>
      <c r="BB82" t="inlineStr">
        <is>
          <t>9780444808622</t>
        </is>
      </c>
      <c r="BC82" t="inlineStr">
        <is>
          <t>30001001675307</t>
        </is>
      </c>
      <c r="BD82" t="inlineStr">
        <is>
          <t>893161791</t>
        </is>
      </c>
    </row>
    <row r="83">
      <c r="A83" t="inlineStr">
        <is>
          <t>No</t>
        </is>
      </c>
      <c r="B83" t="inlineStr">
        <is>
          <t>QU 25 L123m 1988 v.18</t>
        </is>
      </c>
      <c r="C83" t="inlineStr">
        <is>
          <t>0                      QU 0025000L  123m        1988                                        v.18</t>
        </is>
      </c>
      <c r="D83" t="inlineStr">
        <is>
          <t>Methods of cell separation / Paul T. Sharpe.</t>
        </is>
      </c>
      <c r="E83" t="inlineStr">
        <is>
          <t>V.18</t>
        </is>
      </c>
      <c r="F83" t="inlineStr">
        <is>
          <t>No</t>
        </is>
      </c>
      <c r="G83" t="inlineStr">
        <is>
          <t>1</t>
        </is>
      </c>
      <c r="H83" t="inlineStr">
        <is>
          <t>No</t>
        </is>
      </c>
      <c r="I83" t="inlineStr">
        <is>
          <t>No</t>
        </is>
      </c>
      <c r="J83" t="inlineStr">
        <is>
          <t>0</t>
        </is>
      </c>
      <c r="K83" t="inlineStr">
        <is>
          <t>Sharpe, Paul T.</t>
        </is>
      </c>
      <c r="L83" t="inlineStr">
        <is>
          <t>Amsterdam ; New York : Elsevier ; New York : Sole distributors for U.S.A. and Canada, Elsevier Science Pub. Co., c1988.</t>
        </is>
      </c>
      <c r="M83" t="inlineStr">
        <is>
          <t>1988</t>
        </is>
      </c>
      <c r="O83" t="inlineStr">
        <is>
          <t>eng</t>
        </is>
      </c>
      <c r="P83" t="inlineStr">
        <is>
          <t xml:space="preserve">ne </t>
        </is>
      </c>
      <c r="Q83" t="inlineStr">
        <is>
          <t>Laboratory techniques in biochemistry and molecular biology ; v. 18</t>
        </is>
      </c>
      <c r="R83" t="inlineStr">
        <is>
          <t xml:space="preserve">QU </t>
        </is>
      </c>
      <c r="S83" t="n">
        <v>5</v>
      </c>
      <c r="T83" t="n">
        <v>5</v>
      </c>
      <c r="U83" t="inlineStr">
        <is>
          <t>1990-02-16</t>
        </is>
      </c>
      <c r="V83" t="inlineStr">
        <is>
          <t>1990-02-16</t>
        </is>
      </c>
      <c r="W83" t="inlineStr">
        <is>
          <t>1989-02-24</t>
        </is>
      </c>
      <c r="X83" t="inlineStr">
        <is>
          <t>1989-02-24</t>
        </is>
      </c>
      <c r="Y83" t="n">
        <v>300</v>
      </c>
      <c r="Z83" t="n">
        <v>175</v>
      </c>
      <c r="AA83" t="n">
        <v>193</v>
      </c>
      <c r="AB83" t="n">
        <v>1</v>
      </c>
      <c r="AC83" t="n">
        <v>1</v>
      </c>
      <c r="AD83" t="n">
        <v>7</v>
      </c>
      <c r="AE83" t="n">
        <v>7</v>
      </c>
      <c r="AF83" t="n">
        <v>1</v>
      </c>
      <c r="AG83" t="n">
        <v>1</v>
      </c>
      <c r="AH83" t="n">
        <v>3</v>
      </c>
      <c r="AI83" t="n">
        <v>3</v>
      </c>
      <c r="AJ83" t="n">
        <v>6</v>
      </c>
      <c r="AK83" t="n">
        <v>6</v>
      </c>
      <c r="AL83" t="n">
        <v>0</v>
      </c>
      <c r="AM83" t="n">
        <v>0</v>
      </c>
      <c r="AN83" t="n">
        <v>0</v>
      </c>
      <c r="AO83" t="n">
        <v>0</v>
      </c>
      <c r="AP83" t="inlineStr">
        <is>
          <t>No</t>
        </is>
      </c>
      <c r="AQ83" t="inlineStr">
        <is>
          <t>No</t>
        </is>
      </c>
      <c r="AS83">
        <f>HYPERLINK("https://creighton-primo.hosted.exlibrisgroup.com/primo-explore/search?tab=default_tab&amp;search_scope=EVERYTHING&amp;vid=01CRU&amp;lang=en_US&amp;offset=0&amp;query=any,contains,991001239779702656","Catalog Record")</f>
        <v/>
      </c>
      <c r="AT83">
        <f>HYPERLINK("http://www.worldcat.org/oclc/19555123","WorldCat Record")</f>
        <v/>
      </c>
      <c r="AU83" t="inlineStr">
        <is>
          <t>21178535:eng</t>
        </is>
      </c>
      <c r="AV83" t="inlineStr">
        <is>
          <t>19555123</t>
        </is>
      </c>
      <c r="AW83" t="inlineStr">
        <is>
          <t>991001239779702656</t>
        </is>
      </c>
      <c r="AX83" t="inlineStr">
        <is>
          <t>991001239779702656</t>
        </is>
      </c>
      <c r="AY83" t="inlineStr">
        <is>
          <t>2260326310002656</t>
        </is>
      </c>
      <c r="AZ83" t="inlineStr">
        <is>
          <t>BOOK</t>
        </is>
      </c>
      <c r="BB83" t="inlineStr">
        <is>
          <t>9780444809278</t>
        </is>
      </c>
      <c r="BC83" t="inlineStr">
        <is>
          <t>30001001675323</t>
        </is>
      </c>
      <c r="BD83" t="inlineStr">
        <is>
          <t>893273920</t>
        </is>
      </c>
    </row>
    <row r="84">
      <c r="A84" t="inlineStr">
        <is>
          <t>No</t>
        </is>
      </c>
      <c r="B84" t="inlineStr">
        <is>
          <t>QU 25 L123s 1988 v.19</t>
        </is>
      </c>
      <c r="C84" t="inlineStr">
        <is>
          <t>0                      QU 0025000L  123s        1988                                        v.19</t>
        </is>
      </c>
      <c r="D84" t="inlineStr">
        <is>
          <t>Synthetic polypeptides as antigens / M.H.V. Van Regenmortel ... [et al.].</t>
        </is>
      </c>
      <c r="E84" t="inlineStr">
        <is>
          <t>V.19</t>
        </is>
      </c>
      <c r="F84" t="inlineStr">
        <is>
          <t>No</t>
        </is>
      </c>
      <c r="G84" t="inlineStr">
        <is>
          <t>1</t>
        </is>
      </c>
      <c r="H84" t="inlineStr">
        <is>
          <t>No</t>
        </is>
      </c>
      <c r="I84" t="inlineStr">
        <is>
          <t>No</t>
        </is>
      </c>
      <c r="J84" t="inlineStr">
        <is>
          <t>0</t>
        </is>
      </c>
      <c r="L84" t="inlineStr">
        <is>
          <t>Amsterdam ; New York : Elsevier ; New York : Sole distributors for U.S.A. and Canada, Elsevier Science Pub. Co., c1988.</t>
        </is>
      </c>
      <c r="M84" t="inlineStr">
        <is>
          <t>1988</t>
        </is>
      </c>
      <c r="O84" t="inlineStr">
        <is>
          <t>eng</t>
        </is>
      </c>
      <c r="P84" t="inlineStr">
        <is>
          <t xml:space="preserve">ne </t>
        </is>
      </c>
      <c r="Q84" t="inlineStr">
        <is>
          <t>Laboratory techniques in biochemistry and molecular biology ; v. 19</t>
        </is>
      </c>
      <c r="R84" t="inlineStr">
        <is>
          <t xml:space="preserve">QU </t>
        </is>
      </c>
      <c r="S84" t="n">
        <v>6</v>
      </c>
      <c r="T84" t="n">
        <v>6</v>
      </c>
      <c r="U84" t="inlineStr">
        <is>
          <t>1990-08-31</t>
        </is>
      </c>
      <c r="V84" t="inlineStr">
        <is>
          <t>1990-08-31</t>
        </is>
      </c>
      <c r="W84" t="inlineStr">
        <is>
          <t>1989-02-24</t>
        </is>
      </c>
      <c r="X84" t="inlineStr">
        <is>
          <t>1989-02-24</t>
        </is>
      </c>
      <c r="Y84" t="n">
        <v>269</v>
      </c>
      <c r="Z84" t="n">
        <v>160</v>
      </c>
      <c r="AA84" t="n">
        <v>209</v>
      </c>
      <c r="AB84" t="n">
        <v>1</v>
      </c>
      <c r="AC84" t="n">
        <v>1</v>
      </c>
      <c r="AD84" t="n">
        <v>4</v>
      </c>
      <c r="AE84" t="n">
        <v>6</v>
      </c>
      <c r="AF84" t="n">
        <v>0</v>
      </c>
      <c r="AG84" t="n">
        <v>2</v>
      </c>
      <c r="AH84" t="n">
        <v>2</v>
      </c>
      <c r="AI84" t="n">
        <v>3</v>
      </c>
      <c r="AJ84" t="n">
        <v>4</v>
      </c>
      <c r="AK84" t="n">
        <v>4</v>
      </c>
      <c r="AL84" t="n">
        <v>0</v>
      </c>
      <c r="AM84" t="n">
        <v>0</v>
      </c>
      <c r="AN84" t="n">
        <v>0</v>
      </c>
      <c r="AO84" t="n">
        <v>0</v>
      </c>
      <c r="AP84" t="inlineStr">
        <is>
          <t>No</t>
        </is>
      </c>
      <c r="AQ84" t="inlineStr">
        <is>
          <t>No</t>
        </is>
      </c>
      <c r="AS84">
        <f>HYPERLINK("https://creighton-primo.hosted.exlibrisgroup.com/primo-explore/search?tab=default_tab&amp;search_scope=EVERYTHING&amp;vid=01CRU&amp;lang=en_US&amp;offset=0&amp;query=any,contains,991001239599702656","Catalog Record")</f>
        <v/>
      </c>
      <c r="AT84">
        <f>HYPERLINK("http://www.worldcat.org/oclc/20935990","WorldCat Record")</f>
        <v/>
      </c>
      <c r="AU84" t="inlineStr">
        <is>
          <t>766081708:eng</t>
        </is>
      </c>
      <c r="AV84" t="inlineStr">
        <is>
          <t>20935990</t>
        </is>
      </c>
      <c r="AW84" t="inlineStr">
        <is>
          <t>991001239599702656</t>
        </is>
      </c>
      <c r="AX84" t="inlineStr">
        <is>
          <t>991001239599702656</t>
        </is>
      </c>
      <c r="AY84" t="inlineStr">
        <is>
          <t>2266184270002656</t>
        </is>
      </c>
      <c r="AZ84" t="inlineStr">
        <is>
          <t>BOOK</t>
        </is>
      </c>
      <c r="BB84" t="inlineStr">
        <is>
          <t>9780444809742</t>
        </is>
      </c>
      <c r="BC84" t="inlineStr">
        <is>
          <t>30001001675281</t>
        </is>
      </c>
      <c r="BD84" t="inlineStr">
        <is>
          <t>893648999</t>
        </is>
      </c>
    </row>
    <row r="85">
      <c r="A85" t="inlineStr">
        <is>
          <t>No</t>
        </is>
      </c>
      <c r="B85" t="inlineStr">
        <is>
          <t>QU 25 L764 1994</t>
        </is>
      </c>
      <c r="C85" t="inlineStr">
        <is>
          <t>0                      QU 0025000L  764         1994</t>
        </is>
      </c>
      <c r="D85" t="inlineStr">
        <is>
          <t>Lipid chromatographic analysis / edited by Takayuki Shibamoto.</t>
        </is>
      </c>
      <c r="F85" t="inlineStr">
        <is>
          <t>No</t>
        </is>
      </c>
      <c r="G85" t="inlineStr">
        <is>
          <t>1</t>
        </is>
      </c>
      <c r="H85" t="inlineStr">
        <is>
          <t>No</t>
        </is>
      </c>
      <c r="I85" t="inlineStr">
        <is>
          <t>No</t>
        </is>
      </c>
      <c r="J85" t="inlineStr">
        <is>
          <t>0</t>
        </is>
      </c>
      <c r="L85" t="inlineStr">
        <is>
          <t>New York : Marcel Dekker, c1994.</t>
        </is>
      </c>
      <c r="M85" t="inlineStr">
        <is>
          <t>1994</t>
        </is>
      </c>
      <c r="O85" t="inlineStr">
        <is>
          <t>eng</t>
        </is>
      </c>
      <c r="P85" t="inlineStr">
        <is>
          <t>nyu</t>
        </is>
      </c>
      <c r="Q85" t="inlineStr">
        <is>
          <t>Chromatographic science series ; v. 65.</t>
        </is>
      </c>
      <c r="R85" t="inlineStr">
        <is>
          <t xml:space="preserve">QU </t>
        </is>
      </c>
      <c r="S85" t="n">
        <v>9</v>
      </c>
      <c r="T85" t="n">
        <v>9</v>
      </c>
      <c r="U85" t="inlineStr">
        <is>
          <t>2001-09-05</t>
        </is>
      </c>
      <c r="V85" t="inlineStr">
        <is>
          <t>2001-09-05</t>
        </is>
      </c>
      <c r="W85" t="inlineStr">
        <is>
          <t>1994-01-17</t>
        </is>
      </c>
      <c r="X85" t="inlineStr">
        <is>
          <t>1994-01-17</t>
        </is>
      </c>
      <c r="Y85" t="n">
        <v>166</v>
      </c>
      <c r="Z85" t="n">
        <v>119</v>
      </c>
      <c r="AA85" t="n">
        <v>143</v>
      </c>
      <c r="AB85" t="n">
        <v>1</v>
      </c>
      <c r="AC85" t="n">
        <v>1</v>
      </c>
      <c r="AD85" t="n">
        <v>3</v>
      </c>
      <c r="AE85" t="n">
        <v>3</v>
      </c>
      <c r="AF85" t="n">
        <v>0</v>
      </c>
      <c r="AG85" t="n">
        <v>0</v>
      </c>
      <c r="AH85" t="n">
        <v>2</v>
      </c>
      <c r="AI85" t="n">
        <v>2</v>
      </c>
      <c r="AJ85" t="n">
        <v>2</v>
      </c>
      <c r="AK85" t="n">
        <v>2</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HYPERLINK("https://creighton-primo.hosted.exlibrisgroup.com/primo-explore/search?tab=default_tab&amp;search_scope=EVERYTHING&amp;vid=01CRU&amp;lang=en_US&amp;offset=0&amp;query=any,contains,991000652159702656","Catalog Record")</f>
        <v/>
      </c>
      <c r="AT85">
        <f>HYPERLINK("http://www.worldcat.org/oclc/28965002","WorldCat Record")</f>
        <v/>
      </c>
      <c r="AU85" t="inlineStr">
        <is>
          <t>55751141:eng</t>
        </is>
      </c>
      <c r="AV85" t="inlineStr">
        <is>
          <t>28965002</t>
        </is>
      </c>
      <c r="AW85" t="inlineStr">
        <is>
          <t>991000652159702656</t>
        </is>
      </c>
      <c r="AX85" t="inlineStr">
        <is>
          <t>991000652159702656</t>
        </is>
      </c>
      <c r="AY85" t="inlineStr">
        <is>
          <t>2256534280002656</t>
        </is>
      </c>
      <c r="AZ85" t="inlineStr">
        <is>
          <t>BOOK</t>
        </is>
      </c>
      <c r="BB85" t="inlineStr">
        <is>
          <t>9780824789411</t>
        </is>
      </c>
      <c r="BC85" t="inlineStr">
        <is>
          <t>30001002691261</t>
        </is>
      </c>
      <c r="BD85" t="inlineStr">
        <is>
          <t>893160729</t>
        </is>
      </c>
    </row>
    <row r="86">
      <c r="A86" t="inlineStr">
        <is>
          <t>No</t>
        </is>
      </c>
      <c r="B86" t="inlineStr">
        <is>
          <t>QU 25 M5904 1983-84 v.1/2/5</t>
        </is>
      </c>
      <c r="C86" t="inlineStr">
        <is>
          <t>0                      QU 0025000M  5904        1983                                        -84 v.1 2 5</t>
        </is>
      </c>
      <c r="D86" t="inlineStr">
        <is>
          <t>Methods of enzymatic analysis / editor-in-chief, Hans Ulrich Bergmeyer, editors, Jürgen Bergmeyer and Marianne Grassl.</t>
        </is>
      </c>
      <c r="E86" t="inlineStr">
        <is>
          <t>V. 2</t>
        </is>
      </c>
      <c r="F86" t="inlineStr">
        <is>
          <t>Yes</t>
        </is>
      </c>
      <c r="G86" t="inlineStr">
        <is>
          <t>1</t>
        </is>
      </c>
      <c r="H86" t="inlineStr">
        <is>
          <t>No</t>
        </is>
      </c>
      <c r="I86" t="inlineStr">
        <is>
          <t>No</t>
        </is>
      </c>
      <c r="J86" t="inlineStr">
        <is>
          <t>0</t>
        </is>
      </c>
      <c r="L86" t="inlineStr">
        <is>
          <t>Weinheim ; Deerfield Beach, Fla. : Verlag Chemie, c1983-c1984.</t>
        </is>
      </c>
      <c r="M86" t="inlineStr">
        <is>
          <t>1983</t>
        </is>
      </c>
      <c r="N86" t="inlineStr">
        <is>
          <t>3rd ed.</t>
        </is>
      </c>
      <c r="O86" t="inlineStr">
        <is>
          <t>eng</t>
        </is>
      </c>
      <c r="P86" t="inlineStr">
        <is>
          <t xml:space="preserve">gw </t>
        </is>
      </c>
      <c r="R86" t="inlineStr">
        <is>
          <t xml:space="preserve">QU </t>
        </is>
      </c>
      <c r="S86" t="n">
        <v>4</v>
      </c>
      <c r="T86" t="n">
        <v>7</v>
      </c>
      <c r="U86" t="inlineStr">
        <is>
          <t>1989-06-19</t>
        </is>
      </c>
      <c r="V86" t="inlineStr">
        <is>
          <t>1991-05-20</t>
        </is>
      </c>
      <c r="W86" t="inlineStr">
        <is>
          <t>1988-05-14</t>
        </is>
      </c>
      <c r="X86" t="inlineStr">
        <is>
          <t>1988-05-14</t>
        </is>
      </c>
      <c r="Y86" t="n">
        <v>436</v>
      </c>
      <c r="Z86" t="n">
        <v>327</v>
      </c>
      <c r="AA86" t="n">
        <v>329</v>
      </c>
      <c r="AB86" t="n">
        <v>3</v>
      </c>
      <c r="AC86" t="n">
        <v>3</v>
      </c>
      <c r="AD86" t="n">
        <v>11</v>
      </c>
      <c r="AE86" t="n">
        <v>11</v>
      </c>
      <c r="AF86" t="n">
        <v>3</v>
      </c>
      <c r="AG86" t="n">
        <v>3</v>
      </c>
      <c r="AH86" t="n">
        <v>3</v>
      </c>
      <c r="AI86" t="n">
        <v>3</v>
      </c>
      <c r="AJ86" t="n">
        <v>7</v>
      </c>
      <c r="AK86" t="n">
        <v>7</v>
      </c>
      <c r="AL86" t="n">
        <v>2</v>
      </c>
      <c r="AM86" t="n">
        <v>2</v>
      </c>
      <c r="AN86" t="n">
        <v>0</v>
      </c>
      <c r="AO86" t="n">
        <v>0</v>
      </c>
      <c r="AP86" t="inlineStr">
        <is>
          <t>No</t>
        </is>
      </c>
      <c r="AQ86" t="inlineStr">
        <is>
          <t>Yes</t>
        </is>
      </c>
      <c r="AR86">
        <f>HYPERLINK("http://catalog.hathitrust.org/Record/000117040","HathiTrust Record")</f>
        <v/>
      </c>
      <c r="AS86">
        <f>HYPERLINK("https://creighton-primo.hosted.exlibrisgroup.com/primo-explore/search?tab=default_tab&amp;search_scope=EVERYTHING&amp;vid=01CRU&amp;lang=en_US&amp;offset=0&amp;query=any,contains,991000895319702656","Catalog Record")</f>
        <v/>
      </c>
      <c r="AT86">
        <f>HYPERLINK("http://www.worldcat.org/oclc/11371582","WorldCat Record")</f>
        <v/>
      </c>
      <c r="AU86" t="inlineStr">
        <is>
          <t>10076538478:eng</t>
        </is>
      </c>
      <c r="AV86" t="inlineStr">
        <is>
          <t>11371582</t>
        </is>
      </c>
      <c r="AW86" t="inlineStr">
        <is>
          <t>991000895319702656</t>
        </is>
      </c>
      <c r="AX86" t="inlineStr">
        <is>
          <t>991000895319702656</t>
        </is>
      </c>
      <c r="AY86" t="inlineStr">
        <is>
          <t>2258767420002656</t>
        </is>
      </c>
      <c r="AZ86" t="inlineStr">
        <is>
          <t>BOOK</t>
        </is>
      </c>
      <c r="BB86" t="inlineStr">
        <is>
          <t>9780895732316</t>
        </is>
      </c>
      <c r="BC86" t="inlineStr">
        <is>
          <t>30001000155541</t>
        </is>
      </c>
      <c r="BD86" t="inlineStr">
        <is>
          <t>893467708</t>
        </is>
      </c>
    </row>
    <row r="87">
      <c r="A87" t="inlineStr">
        <is>
          <t>No</t>
        </is>
      </c>
      <c r="B87" t="inlineStr">
        <is>
          <t>QU 25 M5904 1983-84 v.1/2/5</t>
        </is>
      </c>
      <c r="C87" t="inlineStr">
        <is>
          <t>0                      QU 0025000M  5904        1983                                        -84 v.1 2 5</t>
        </is>
      </c>
      <c r="D87" t="inlineStr">
        <is>
          <t>Methods of enzymatic analysis / editor-in-chief, Hans Ulrich Bergmeyer, editors, Jürgen Bergmeyer and Marianne Grassl.</t>
        </is>
      </c>
      <c r="E87" t="inlineStr">
        <is>
          <t>V. 5</t>
        </is>
      </c>
      <c r="F87" t="inlineStr">
        <is>
          <t>Yes</t>
        </is>
      </c>
      <c r="G87" t="inlineStr">
        <is>
          <t>1</t>
        </is>
      </c>
      <c r="H87" t="inlineStr">
        <is>
          <t>No</t>
        </is>
      </c>
      <c r="I87" t="inlineStr">
        <is>
          <t>No</t>
        </is>
      </c>
      <c r="J87" t="inlineStr">
        <is>
          <t>0</t>
        </is>
      </c>
      <c r="L87" t="inlineStr">
        <is>
          <t>Weinheim ; Deerfield Beach, Fla. : Verlag Chemie, c1983-c1984.</t>
        </is>
      </c>
      <c r="M87" t="inlineStr">
        <is>
          <t>1983</t>
        </is>
      </c>
      <c r="N87" t="inlineStr">
        <is>
          <t>3rd ed.</t>
        </is>
      </c>
      <c r="O87" t="inlineStr">
        <is>
          <t>eng</t>
        </is>
      </c>
      <c r="P87" t="inlineStr">
        <is>
          <t xml:space="preserve">gw </t>
        </is>
      </c>
      <c r="R87" t="inlineStr">
        <is>
          <t xml:space="preserve">QU </t>
        </is>
      </c>
      <c r="S87" t="n">
        <v>1</v>
      </c>
      <c r="T87" t="n">
        <v>7</v>
      </c>
      <c r="V87" t="inlineStr">
        <is>
          <t>1991-05-20</t>
        </is>
      </c>
      <c r="W87" t="inlineStr">
        <is>
          <t>1988-05-14</t>
        </is>
      </c>
      <c r="X87" t="inlineStr">
        <is>
          <t>1988-05-14</t>
        </is>
      </c>
      <c r="Y87" t="n">
        <v>436</v>
      </c>
      <c r="Z87" t="n">
        <v>327</v>
      </c>
      <c r="AA87" t="n">
        <v>329</v>
      </c>
      <c r="AB87" t="n">
        <v>3</v>
      </c>
      <c r="AC87" t="n">
        <v>3</v>
      </c>
      <c r="AD87" t="n">
        <v>11</v>
      </c>
      <c r="AE87" t="n">
        <v>11</v>
      </c>
      <c r="AF87" t="n">
        <v>3</v>
      </c>
      <c r="AG87" t="n">
        <v>3</v>
      </c>
      <c r="AH87" t="n">
        <v>3</v>
      </c>
      <c r="AI87" t="n">
        <v>3</v>
      </c>
      <c r="AJ87" t="n">
        <v>7</v>
      </c>
      <c r="AK87" t="n">
        <v>7</v>
      </c>
      <c r="AL87" t="n">
        <v>2</v>
      </c>
      <c r="AM87" t="n">
        <v>2</v>
      </c>
      <c r="AN87" t="n">
        <v>0</v>
      </c>
      <c r="AO87" t="n">
        <v>0</v>
      </c>
      <c r="AP87" t="inlineStr">
        <is>
          <t>No</t>
        </is>
      </c>
      <c r="AQ87" t="inlineStr">
        <is>
          <t>Yes</t>
        </is>
      </c>
      <c r="AR87">
        <f>HYPERLINK("http://catalog.hathitrust.org/Record/000117040","HathiTrust Record")</f>
        <v/>
      </c>
      <c r="AS87">
        <f>HYPERLINK("https://creighton-primo.hosted.exlibrisgroup.com/primo-explore/search?tab=default_tab&amp;search_scope=EVERYTHING&amp;vid=01CRU&amp;lang=en_US&amp;offset=0&amp;query=any,contains,991000895319702656","Catalog Record")</f>
        <v/>
      </c>
      <c r="AT87">
        <f>HYPERLINK("http://www.worldcat.org/oclc/11371582","WorldCat Record")</f>
        <v/>
      </c>
      <c r="AU87" t="inlineStr">
        <is>
          <t>10076538478:eng</t>
        </is>
      </c>
      <c r="AV87" t="inlineStr">
        <is>
          <t>11371582</t>
        </is>
      </c>
      <c r="AW87" t="inlineStr">
        <is>
          <t>991000895319702656</t>
        </is>
      </c>
      <c r="AX87" t="inlineStr">
        <is>
          <t>991000895319702656</t>
        </is>
      </c>
      <c r="AY87" t="inlineStr">
        <is>
          <t>2258767420002656</t>
        </is>
      </c>
      <c r="AZ87" t="inlineStr">
        <is>
          <t>BOOK</t>
        </is>
      </c>
      <c r="BB87" t="inlineStr">
        <is>
          <t>9780895732316</t>
        </is>
      </c>
      <c r="BC87" t="inlineStr">
        <is>
          <t>30001001087297</t>
        </is>
      </c>
      <c r="BD87" t="inlineStr">
        <is>
          <t>893464975</t>
        </is>
      </c>
    </row>
    <row r="88">
      <c r="A88" t="inlineStr">
        <is>
          <t>No</t>
        </is>
      </c>
      <c r="B88" t="inlineStr">
        <is>
          <t>QU 25 M5904 1983-84 v.1/2/5</t>
        </is>
      </c>
      <c r="C88" t="inlineStr">
        <is>
          <t>0                      QU 0025000M  5904        1983                                        -84 v.1 2 5</t>
        </is>
      </c>
      <c r="D88" t="inlineStr">
        <is>
          <t>Methods of enzymatic analysis / editor-in-chief, Hans Ulrich Bergmeyer, editors, Jürgen Bergmeyer and Marianne Grassl.</t>
        </is>
      </c>
      <c r="E88" t="inlineStr">
        <is>
          <t>V. 1</t>
        </is>
      </c>
      <c r="F88" t="inlineStr">
        <is>
          <t>Yes</t>
        </is>
      </c>
      <c r="G88" t="inlineStr">
        <is>
          <t>1</t>
        </is>
      </c>
      <c r="H88" t="inlineStr">
        <is>
          <t>No</t>
        </is>
      </c>
      <c r="I88" t="inlineStr">
        <is>
          <t>No</t>
        </is>
      </c>
      <c r="J88" t="inlineStr">
        <is>
          <t>0</t>
        </is>
      </c>
      <c r="L88" t="inlineStr">
        <is>
          <t>Weinheim ; Deerfield Beach, Fla. : Verlag Chemie, c1983-c1984.</t>
        </is>
      </c>
      <c r="M88" t="inlineStr">
        <is>
          <t>1983</t>
        </is>
      </c>
      <c r="N88" t="inlineStr">
        <is>
          <t>3rd ed.</t>
        </is>
      </c>
      <c r="O88" t="inlineStr">
        <is>
          <t>eng</t>
        </is>
      </c>
      <c r="P88" t="inlineStr">
        <is>
          <t xml:space="preserve">gw </t>
        </is>
      </c>
      <c r="R88" t="inlineStr">
        <is>
          <t xml:space="preserve">QU </t>
        </is>
      </c>
      <c r="S88" t="n">
        <v>2</v>
      </c>
      <c r="T88" t="n">
        <v>7</v>
      </c>
      <c r="U88" t="inlineStr">
        <is>
          <t>1991-05-20</t>
        </is>
      </c>
      <c r="V88" t="inlineStr">
        <is>
          <t>1991-05-20</t>
        </is>
      </c>
      <c r="W88" t="inlineStr">
        <is>
          <t>1988-05-14</t>
        </is>
      </c>
      <c r="X88" t="inlineStr">
        <is>
          <t>1988-05-14</t>
        </is>
      </c>
      <c r="Y88" t="n">
        <v>436</v>
      </c>
      <c r="Z88" t="n">
        <v>327</v>
      </c>
      <c r="AA88" t="n">
        <v>329</v>
      </c>
      <c r="AB88" t="n">
        <v>3</v>
      </c>
      <c r="AC88" t="n">
        <v>3</v>
      </c>
      <c r="AD88" t="n">
        <v>11</v>
      </c>
      <c r="AE88" t="n">
        <v>11</v>
      </c>
      <c r="AF88" t="n">
        <v>3</v>
      </c>
      <c r="AG88" t="n">
        <v>3</v>
      </c>
      <c r="AH88" t="n">
        <v>3</v>
      </c>
      <c r="AI88" t="n">
        <v>3</v>
      </c>
      <c r="AJ88" t="n">
        <v>7</v>
      </c>
      <c r="AK88" t="n">
        <v>7</v>
      </c>
      <c r="AL88" t="n">
        <v>2</v>
      </c>
      <c r="AM88" t="n">
        <v>2</v>
      </c>
      <c r="AN88" t="n">
        <v>0</v>
      </c>
      <c r="AO88" t="n">
        <v>0</v>
      </c>
      <c r="AP88" t="inlineStr">
        <is>
          <t>No</t>
        </is>
      </c>
      <c r="AQ88" t="inlineStr">
        <is>
          <t>Yes</t>
        </is>
      </c>
      <c r="AR88">
        <f>HYPERLINK("http://catalog.hathitrust.org/Record/000117040","HathiTrust Record")</f>
        <v/>
      </c>
      <c r="AS88">
        <f>HYPERLINK("https://creighton-primo.hosted.exlibrisgroup.com/primo-explore/search?tab=default_tab&amp;search_scope=EVERYTHING&amp;vid=01CRU&amp;lang=en_US&amp;offset=0&amp;query=any,contains,991000895319702656","Catalog Record")</f>
        <v/>
      </c>
      <c r="AT88">
        <f>HYPERLINK("http://www.worldcat.org/oclc/11371582","WorldCat Record")</f>
        <v/>
      </c>
      <c r="AU88" t="inlineStr">
        <is>
          <t>10076538478:eng</t>
        </is>
      </c>
      <c r="AV88" t="inlineStr">
        <is>
          <t>11371582</t>
        </is>
      </c>
      <c r="AW88" t="inlineStr">
        <is>
          <t>991000895319702656</t>
        </is>
      </c>
      <c r="AX88" t="inlineStr">
        <is>
          <t>991000895319702656</t>
        </is>
      </c>
      <c r="AY88" t="inlineStr">
        <is>
          <t>2258767420002656</t>
        </is>
      </c>
      <c r="AZ88" t="inlineStr">
        <is>
          <t>BOOK</t>
        </is>
      </c>
      <c r="BB88" t="inlineStr">
        <is>
          <t>9780895732316</t>
        </is>
      </c>
      <c r="BC88" t="inlineStr">
        <is>
          <t>30001001087289</t>
        </is>
      </c>
      <c r="BD88" t="inlineStr">
        <is>
          <t>893464976</t>
        </is>
      </c>
    </row>
    <row r="89">
      <c r="A89" t="inlineStr">
        <is>
          <t>No</t>
        </is>
      </c>
      <c r="B89" t="inlineStr">
        <is>
          <t>QU 25 M5904 1983-84 v.3-4</t>
        </is>
      </c>
      <c r="C89" t="inlineStr">
        <is>
          <t>0                      QU 0025000M  5904        1983                                        -84 v.3-4</t>
        </is>
      </c>
      <c r="D89" t="inlineStr">
        <is>
          <t>Methods of enzymatic analysis / editor-in-chief, Hans Ulrich Bergmeyer ; editors, Jürgen Bergmeyer and Marianne Grassl.</t>
        </is>
      </c>
      <c r="E89" t="inlineStr">
        <is>
          <t>V. 3</t>
        </is>
      </c>
      <c r="F89" t="inlineStr">
        <is>
          <t>Yes</t>
        </is>
      </c>
      <c r="G89" t="inlineStr">
        <is>
          <t>1</t>
        </is>
      </c>
      <c r="H89" t="inlineStr">
        <is>
          <t>No</t>
        </is>
      </c>
      <c r="I89" t="inlineStr">
        <is>
          <t>No</t>
        </is>
      </c>
      <c r="J89" t="inlineStr">
        <is>
          <t>0</t>
        </is>
      </c>
      <c r="L89" t="inlineStr">
        <is>
          <t>Weinheim ; Deerfield Beach, Fla. : Verlag Chemie, c1983-84.</t>
        </is>
      </c>
      <c r="M89" t="inlineStr">
        <is>
          <t>1983</t>
        </is>
      </c>
      <c r="N89" t="inlineStr">
        <is>
          <t>3rd ed.</t>
        </is>
      </c>
      <c r="O89" t="inlineStr">
        <is>
          <t>eng</t>
        </is>
      </c>
      <c r="P89" t="inlineStr">
        <is>
          <t xml:space="preserve">gw </t>
        </is>
      </c>
      <c r="R89" t="inlineStr">
        <is>
          <t xml:space="preserve">QU </t>
        </is>
      </c>
      <c r="S89" t="n">
        <v>1</v>
      </c>
      <c r="T89" t="n">
        <v>2</v>
      </c>
      <c r="U89" t="inlineStr">
        <is>
          <t>2000-08-17</t>
        </is>
      </c>
      <c r="V89" t="inlineStr">
        <is>
          <t>2000-08-17</t>
        </is>
      </c>
      <c r="W89" t="inlineStr">
        <is>
          <t>1988-01-26</t>
        </is>
      </c>
      <c r="X89" t="inlineStr">
        <is>
          <t>1988-12-30</t>
        </is>
      </c>
      <c r="Y89" t="n">
        <v>436</v>
      </c>
      <c r="Z89" t="n">
        <v>327</v>
      </c>
      <c r="AA89" t="n">
        <v>329</v>
      </c>
      <c r="AB89" t="n">
        <v>3</v>
      </c>
      <c r="AC89" t="n">
        <v>3</v>
      </c>
      <c r="AD89" t="n">
        <v>11</v>
      </c>
      <c r="AE89" t="n">
        <v>11</v>
      </c>
      <c r="AF89" t="n">
        <v>3</v>
      </c>
      <c r="AG89" t="n">
        <v>3</v>
      </c>
      <c r="AH89" t="n">
        <v>3</v>
      </c>
      <c r="AI89" t="n">
        <v>3</v>
      </c>
      <c r="AJ89" t="n">
        <v>7</v>
      </c>
      <c r="AK89" t="n">
        <v>7</v>
      </c>
      <c r="AL89" t="n">
        <v>2</v>
      </c>
      <c r="AM89" t="n">
        <v>2</v>
      </c>
      <c r="AN89" t="n">
        <v>0</v>
      </c>
      <c r="AO89" t="n">
        <v>0</v>
      </c>
      <c r="AP89" t="inlineStr">
        <is>
          <t>No</t>
        </is>
      </c>
      <c r="AQ89" t="inlineStr">
        <is>
          <t>Yes</t>
        </is>
      </c>
      <c r="AR89">
        <f>HYPERLINK("http://catalog.hathitrust.org/Record/000117040","HathiTrust Record")</f>
        <v/>
      </c>
      <c r="AS89">
        <f>HYPERLINK("https://creighton-primo.hosted.exlibrisgroup.com/primo-explore/search?tab=default_tab&amp;search_scope=EVERYTHING&amp;vid=01CRU&amp;lang=en_US&amp;offset=0&amp;query=any,contains,991000895819702656","Catalog Record")</f>
        <v/>
      </c>
      <c r="AT89">
        <f>HYPERLINK("http://www.worldcat.org/oclc/11371582","WorldCat Record")</f>
        <v/>
      </c>
      <c r="AU89" t="inlineStr">
        <is>
          <t>10076538478:eng</t>
        </is>
      </c>
      <c r="AV89" t="inlineStr">
        <is>
          <t>11371582</t>
        </is>
      </c>
      <c r="AW89" t="inlineStr">
        <is>
          <t>991000895819702656</t>
        </is>
      </c>
      <c r="AX89" t="inlineStr">
        <is>
          <t>991000895819702656</t>
        </is>
      </c>
      <c r="AY89" t="inlineStr">
        <is>
          <t>2271932210002656</t>
        </is>
      </c>
      <c r="AZ89" t="inlineStr">
        <is>
          <t>BOOK</t>
        </is>
      </c>
      <c r="BC89" t="inlineStr">
        <is>
          <t>30001000157034</t>
        </is>
      </c>
      <c r="BD89" t="inlineStr">
        <is>
          <t>893551887</t>
        </is>
      </c>
    </row>
    <row r="90">
      <c r="A90" t="inlineStr">
        <is>
          <t>No</t>
        </is>
      </c>
      <c r="B90" t="inlineStr">
        <is>
          <t>QU 25 M5904 1983-84 v.3-4</t>
        </is>
      </c>
      <c r="C90" t="inlineStr">
        <is>
          <t>0                      QU 0025000M  5904        1983                                        -84 v.3-4</t>
        </is>
      </c>
      <c r="D90" t="inlineStr">
        <is>
          <t>Methods of enzymatic analysis / editor-in-chief, Hans Ulrich Bergmeyer ; editors, Jürgen Bergmeyer and Marianne Grassl.</t>
        </is>
      </c>
      <c r="E90" t="inlineStr">
        <is>
          <t>V. 4</t>
        </is>
      </c>
      <c r="F90" t="inlineStr">
        <is>
          <t>Yes</t>
        </is>
      </c>
      <c r="G90" t="inlineStr">
        <is>
          <t>1</t>
        </is>
      </c>
      <c r="H90" t="inlineStr">
        <is>
          <t>No</t>
        </is>
      </c>
      <c r="I90" t="inlineStr">
        <is>
          <t>No</t>
        </is>
      </c>
      <c r="J90" t="inlineStr">
        <is>
          <t>0</t>
        </is>
      </c>
      <c r="L90" t="inlineStr">
        <is>
          <t>Weinheim ; Deerfield Beach, Fla. : Verlag Chemie, c1983-84.</t>
        </is>
      </c>
      <c r="M90" t="inlineStr">
        <is>
          <t>1983</t>
        </is>
      </c>
      <c r="N90" t="inlineStr">
        <is>
          <t>3rd ed.</t>
        </is>
      </c>
      <c r="O90" t="inlineStr">
        <is>
          <t>eng</t>
        </is>
      </c>
      <c r="P90" t="inlineStr">
        <is>
          <t xml:space="preserve">gw </t>
        </is>
      </c>
      <c r="R90" t="inlineStr">
        <is>
          <t xml:space="preserve">QU </t>
        </is>
      </c>
      <c r="S90" t="n">
        <v>1</v>
      </c>
      <c r="T90" t="n">
        <v>2</v>
      </c>
      <c r="V90" t="inlineStr">
        <is>
          <t>2000-08-17</t>
        </is>
      </c>
      <c r="W90" t="inlineStr">
        <is>
          <t>1988-12-30</t>
        </is>
      </c>
      <c r="X90" t="inlineStr">
        <is>
          <t>1988-12-30</t>
        </is>
      </c>
      <c r="Y90" t="n">
        <v>436</v>
      </c>
      <c r="Z90" t="n">
        <v>327</v>
      </c>
      <c r="AA90" t="n">
        <v>329</v>
      </c>
      <c r="AB90" t="n">
        <v>3</v>
      </c>
      <c r="AC90" t="n">
        <v>3</v>
      </c>
      <c r="AD90" t="n">
        <v>11</v>
      </c>
      <c r="AE90" t="n">
        <v>11</v>
      </c>
      <c r="AF90" t="n">
        <v>3</v>
      </c>
      <c r="AG90" t="n">
        <v>3</v>
      </c>
      <c r="AH90" t="n">
        <v>3</v>
      </c>
      <c r="AI90" t="n">
        <v>3</v>
      </c>
      <c r="AJ90" t="n">
        <v>7</v>
      </c>
      <c r="AK90" t="n">
        <v>7</v>
      </c>
      <c r="AL90" t="n">
        <v>2</v>
      </c>
      <c r="AM90" t="n">
        <v>2</v>
      </c>
      <c r="AN90" t="n">
        <v>0</v>
      </c>
      <c r="AO90" t="n">
        <v>0</v>
      </c>
      <c r="AP90" t="inlineStr">
        <is>
          <t>No</t>
        </is>
      </c>
      <c r="AQ90" t="inlineStr">
        <is>
          <t>Yes</t>
        </is>
      </c>
      <c r="AR90">
        <f>HYPERLINK("http://catalog.hathitrust.org/Record/000117040","HathiTrust Record")</f>
        <v/>
      </c>
      <c r="AS90">
        <f>HYPERLINK("https://creighton-primo.hosted.exlibrisgroup.com/primo-explore/search?tab=default_tab&amp;search_scope=EVERYTHING&amp;vid=01CRU&amp;lang=en_US&amp;offset=0&amp;query=any,contains,991000895819702656","Catalog Record")</f>
        <v/>
      </c>
      <c r="AT90">
        <f>HYPERLINK("http://www.worldcat.org/oclc/11371582","WorldCat Record")</f>
        <v/>
      </c>
      <c r="AU90" t="inlineStr">
        <is>
          <t>10076538478:eng</t>
        </is>
      </c>
      <c r="AV90" t="inlineStr">
        <is>
          <t>11371582</t>
        </is>
      </c>
      <c r="AW90" t="inlineStr">
        <is>
          <t>991000895819702656</t>
        </is>
      </c>
      <c r="AX90" t="inlineStr">
        <is>
          <t>991000895819702656</t>
        </is>
      </c>
      <c r="AY90" t="inlineStr">
        <is>
          <t>2271932210002656</t>
        </is>
      </c>
      <c r="AZ90" t="inlineStr">
        <is>
          <t>BOOK</t>
        </is>
      </c>
      <c r="BC90" t="inlineStr">
        <is>
          <t>30001000157042</t>
        </is>
      </c>
      <c r="BD90" t="inlineStr">
        <is>
          <t>893557378</t>
        </is>
      </c>
    </row>
    <row r="91">
      <c r="A91" t="inlineStr">
        <is>
          <t>No</t>
        </is>
      </c>
      <c r="B91" t="inlineStr">
        <is>
          <t>QU 25 S422p 1994</t>
        </is>
      </c>
      <c r="C91" t="inlineStr">
        <is>
          <t>0                      QU 0025000S  422p        1994</t>
        </is>
      </c>
      <c r="D91" t="inlineStr">
        <is>
          <t>Protein purification : priciples and practice / Robert K. Scopes.</t>
        </is>
      </c>
      <c r="F91" t="inlineStr">
        <is>
          <t>No</t>
        </is>
      </c>
      <c r="G91" t="inlineStr">
        <is>
          <t>1</t>
        </is>
      </c>
      <c r="H91" t="inlineStr">
        <is>
          <t>No</t>
        </is>
      </c>
      <c r="I91" t="inlineStr">
        <is>
          <t>No</t>
        </is>
      </c>
      <c r="J91" t="inlineStr">
        <is>
          <t>0</t>
        </is>
      </c>
      <c r="K91" t="inlineStr">
        <is>
          <t>Scopes, Robert K.</t>
        </is>
      </c>
      <c r="L91" t="inlineStr">
        <is>
          <t>New York : Springer-Verlag, c1994.</t>
        </is>
      </c>
      <c r="M91" t="inlineStr">
        <is>
          <t>1994</t>
        </is>
      </c>
      <c r="N91" t="inlineStr">
        <is>
          <t>3rd ed.</t>
        </is>
      </c>
      <c r="O91" t="inlineStr">
        <is>
          <t>eng</t>
        </is>
      </c>
      <c r="P91" t="inlineStr">
        <is>
          <t>nyu</t>
        </is>
      </c>
      <c r="Q91" t="inlineStr">
        <is>
          <t>Springer advanced texts in chemistry</t>
        </is>
      </c>
      <c r="R91" t="inlineStr">
        <is>
          <t xml:space="preserve">QU </t>
        </is>
      </c>
      <c r="S91" t="n">
        <v>32</v>
      </c>
      <c r="T91" t="n">
        <v>32</v>
      </c>
      <c r="U91" t="inlineStr">
        <is>
          <t>2009-03-06</t>
        </is>
      </c>
      <c r="V91" t="inlineStr">
        <is>
          <t>2009-03-06</t>
        </is>
      </c>
      <c r="W91" t="inlineStr">
        <is>
          <t>1993-11-23</t>
        </is>
      </c>
      <c r="X91" t="inlineStr">
        <is>
          <t>1993-11-23</t>
        </is>
      </c>
      <c r="Y91" t="n">
        <v>610</v>
      </c>
      <c r="Z91" t="n">
        <v>435</v>
      </c>
      <c r="AA91" t="n">
        <v>756</v>
      </c>
      <c r="AB91" t="n">
        <v>3</v>
      </c>
      <c r="AC91" t="n">
        <v>8</v>
      </c>
      <c r="AD91" t="n">
        <v>23</v>
      </c>
      <c r="AE91" t="n">
        <v>37</v>
      </c>
      <c r="AF91" t="n">
        <v>9</v>
      </c>
      <c r="AG91" t="n">
        <v>13</v>
      </c>
      <c r="AH91" t="n">
        <v>6</v>
      </c>
      <c r="AI91" t="n">
        <v>9</v>
      </c>
      <c r="AJ91" t="n">
        <v>12</v>
      </c>
      <c r="AK91" t="n">
        <v>18</v>
      </c>
      <c r="AL91" t="n">
        <v>2</v>
      </c>
      <c r="AM91" t="n">
        <v>7</v>
      </c>
      <c r="AN91" t="n">
        <v>0</v>
      </c>
      <c r="AO91" t="n">
        <v>0</v>
      </c>
      <c r="AP91" t="inlineStr">
        <is>
          <t>No</t>
        </is>
      </c>
      <c r="AQ91" t="inlineStr">
        <is>
          <t>Yes</t>
        </is>
      </c>
      <c r="AR91">
        <f>HYPERLINK("http://catalog.hathitrust.org/Record/002753632","HathiTrust Record")</f>
        <v/>
      </c>
      <c r="AS91">
        <f>HYPERLINK("https://creighton-primo.hosted.exlibrisgroup.com/primo-explore/search?tab=default_tab&amp;search_scope=EVERYTHING&amp;vid=01CRU&amp;lang=en_US&amp;offset=0&amp;query=any,contains,991000544999702656","Catalog Record")</f>
        <v/>
      </c>
      <c r="AT91">
        <f>HYPERLINK("http://www.worldcat.org/oclc/28678541","WorldCat Record")</f>
        <v/>
      </c>
      <c r="AU91" t="inlineStr">
        <is>
          <t>806855284:eng</t>
        </is>
      </c>
      <c r="AV91" t="inlineStr">
        <is>
          <t>28678541</t>
        </is>
      </c>
      <c r="AW91" t="inlineStr">
        <is>
          <t>991000544999702656</t>
        </is>
      </c>
      <c r="AX91" t="inlineStr">
        <is>
          <t>991000544999702656</t>
        </is>
      </c>
      <c r="AY91" t="inlineStr">
        <is>
          <t>2267146840002656</t>
        </is>
      </c>
      <c r="AZ91" t="inlineStr">
        <is>
          <t>BOOK</t>
        </is>
      </c>
      <c r="BB91" t="inlineStr">
        <is>
          <t>9780387940724</t>
        </is>
      </c>
      <c r="BC91" t="inlineStr">
        <is>
          <t>30001002669895</t>
        </is>
      </c>
      <c r="BD91" t="inlineStr">
        <is>
          <t>893550106</t>
        </is>
      </c>
    </row>
    <row r="92">
      <c r="A92" t="inlineStr">
        <is>
          <t>No</t>
        </is>
      </c>
      <c r="B92" t="inlineStr">
        <is>
          <t>QU 25 T974 1999</t>
        </is>
      </c>
      <c r="C92" t="inlineStr">
        <is>
          <t>0                      QU 0025000T  974         1999</t>
        </is>
      </c>
      <c r="D92" t="inlineStr">
        <is>
          <t>2-D proteome analysis protocols / edited by Andrew J. Link.</t>
        </is>
      </c>
      <c r="F92" t="inlineStr">
        <is>
          <t>No</t>
        </is>
      </c>
      <c r="G92" t="inlineStr">
        <is>
          <t>1</t>
        </is>
      </c>
      <c r="H92" t="inlineStr">
        <is>
          <t>No</t>
        </is>
      </c>
      <c r="I92" t="inlineStr">
        <is>
          <t>No</t>
        </is>
      </c>
      <c r="J92" t="inlineStr">
        <is>
          <t>0</t>
        </is>
      </c>
      <c r="L92" t="inlineStr">
        <is>
          <t>Totowa, N.J. : Humana Press, c1999.</t>
        </is>
      </c>
      <c r="M92" t="inlineStr">
        <is>
          <t>1999</t>
        </is>
      </c>
      <c r="O92" t="inlineStr">
        <is>
          <t>eng</t>
        </is>
      </c>
      <c r="P92" t="inlineStr">
        <is>
          <t>nju</t>
        </is>
      </c>
      <c r="Q92" t="inlineStr">
        <is>
          <t>Methods in molecular biology ; v. 112</t>
        </is>
      </c>
      <c r="R92" t="inlineStr">
        <is>
          <t xml:space="preserve">QU </t>
        </is>
      </c>
      <c r="S92" t="n">
        <v>4</v>
      </c>
      <c r="T92" t="n">
        <v>4</v>
      </c>
      <c r="U92" t="inlineStr">
        <is>
          <t>2001-09-23</t>
        </is>
      </c>
      <c r="V92" t="inlineStr">
        <is>
          <t>2001-09-23</t>
        </is>
      </c>
      <c r="W92" t="inlineStr">
        <is>
          <t>1999-02-19</t>
        </is>
      </c>
      <c r="X92" t="inlineStr">
        <is>
          <t>1999-02-19</t>
        </is>
      </c>
      <c r="Y92" t="n">
        <v>258</v>
      </c>
      <c r="Z92" t="n">
        <v>165</v>
      </c>
      <c r="AA92" t="n">
        <v>237</v>
      </c>
      <c r="AB92" t="n">
        <v>2</v>
      </c>
      <c r="AC92" t="n">
        <v>3</v>
      </c>
      <c r="AD92" t="n">
        <v>2</v>
      </c>
      <c r="AE92" t="n">
        <v>5</v>
      </c>
      <c r="AF92" t="n">
        <v>0</v>
      </c>
      <c r="AG92" t="n">
        <v>1</v>
      </c>
      <c r="AH92" t="n">
        <v>0</v>
      </c>
      <c r="AI92" t="n">
        <v>1</v>
      </c>
      <c r="AJ92" t="n">
        <v>1</v>
      </c>
      <c r="AK92" t="n">
        <v>2</v>
      </c>
      <c r="AL92" t="n">
        <v>1</v>
      </c>
      <c r="AM92" t="n">
        <v>2</v>
      </c>
      <c r="AN92" t="n">
        <v>0</v>
      </c>
      <c r="AO92" t="n">
        <v>0</v>
      </c>
      <c r="AP92" t="inlineStr">
        <is>
          <t>No</t>
        </is>
      </c>
      <c r="AQ92" t="inlineStr">
        <is>
          <t>Yes</t>
        </is>
      </c>
      <c r="AR92">
        <f>HYPERLINK("http://catalog.hathitrust.org/Record/004022518","HathiTrust Record")</f>
        <v/>
      </c>
      <c r="AS92">
        <f>HYPERLINK("https://creighton-primo.hosted.exlibrisgroup.com/primo-explore/search?tab=default_tab&amp;search_scope=EVERYTHING&amp;vid=01CRU&amp;lang=en_US&amp;offset=0&amp;query=any,contains,991001534749702656","Catalog Record")</f>
        <v/>
      </c>
      <c r="AT92">
        <f>HYPERLINK("http://www.worldcat.org/oclc/39633795","WorldCat Record")</f>
        <v/>
      </c>
      <c r="AU92" t="inlineStr">
        <is>
          <t>766947812:eng</t>
        </is>
      </c>
      <c r="AV92" t="inlineStr">
        <is>
          <t>39633795</t>
        </is>
      </c>
      <c r="AW92" t="inlineStr">
        <is>
          <t>991001534749702656</t>
        </is>
      </c>
      <c r="AX92" t="inlineStr">
        <is>
          <t>991001534749702656</t>
        </is>
      </c>
      <c r="AY92" t="inlineStr">
        <is>
          <t>2268646360002656</t>
        </is>
      </c>
      <c r="AZ92" t="inlineStr">
        <is>
          <t>BOOK</t>
        </is>
      </c>
      <c r="BB92" t="inlineStr">
        <is>
          <t>9780896035249</t>
        </is>
      </c>
      <c r="BC92" t="inlineStr">
        <is>
          <t>30001003962422</t>
        </is>
      </c>
      <c r="BD92" t="inlineStr">
        <is>
          <t>893465637</t>
        </is>
      </c>
    </row>
    <row r="93">
      <c r="A93" t="inlineStr">
        <is>
          <t>No</t>
        </is>
      </c>
      <c r="B93" t="inlineStr">
        <is>
          <t>QU 34 B255b 1956</t>
        </is>
      </c>
      <c r="C93" t="inlineStr">
        <is>
          <t>0                      QU 0034000B  255b        1956</t>
        </is>
      </c>
      <c r="D93" t="inlineStr">
        <is>
          <t>Bacterial fermentations.</t>
        </is>
      </c>
      <c r="F93" t="inlineStr">
        <is>
          <t>No</t>
        </is>
      </c>
      <c r="G93" t="inlineStr">
        <is>
          <t>1</t>
        </is>
      </c>
      <c r="H93" t="inlineStr">
        <is>
          <t>No</t>
        </is>
      </c>
      <c r="I93" t="inlineStr">
        <is>
          <t>No</t>
        </is>
      </c>
      <c r="J93" t="inlineStr">
        <is>
          <t>0</t>
        </is>
      </c>
      <c r="K93" t="inlineStr">
        <is>
          <t>Barker, H. A. (Horace Albert), 1907-2000.</t>
        </is>
      </c>
      <c r="L93" t="inlineStr">
        <is>
          <t>New York, : Wiley, 1956.</t>
        </is>
      </c>
      <c r="M93" t="inlineStr">
        <is>
          <t>1956</t>
        </is>
      </c>
      <c r="O93" t="inlineStr">
        <is>
          <t>eng</t>
        </is>
      </c>
      <c r="P93" t="inlineStr">
        <is>
          <t>nyu</t>
        </is>
      </c>
      <c r="Q93" t="inlineStr">
        <is>
          <t>Ciba lectures in microbial biochemistry ; 1956</t>
        </is>
      </c>
      <c r="R93" t="inlineStr">
        <is>
          <t xml:space="preserve">QU </t>
        </is>
      </c>
      <c r="S93" t="n">
        <v>6</v>
      </c>
      <c r="T93" t="n">
        <v>6</v>
      </c>
      <c r="U93" t="inlineStr">
        <is>
          <t>1994-01-16</t>
        </is>
      </c>
      <c r="V93" t="inlineStr">
        <is>
          <t>1994-01-16</t>
        </is>
      </c>
      <c r="W93" t="inlineStr">
        <is>
          <t>1987-12-23</t>
        </is>
      </c>
      <c r="X93" t="inlineStr">
        <is>
          <t>1987-12-23</t>
        </is>
      </c>
      <c r="Y93" t="n">
        <v>327</v>
      </c>
      <c r="Z93" t="n">
        <v>249</v>
      </c>
      <c r="AA93" t="n">
        <v>275</v>
      </c>
      <c r="AB93" t="n">
        <v>3</v>
      </c>
      <c r="AC93" t="n">
        <v>3</v>
      </c>
      <c r="AD93" t="n">
        <v>15</v>
      </c>
      <c r="AE93" t="n">
        <v>15</v>
      </c>
      <c r="AF93" t="n">
        <v>5</v>
      </c>
      <c r="AG93" t="n">
        <v>5</v>
      </c>
      <c r="AH93" t="n">
        <v>3</v>
      </c>
      <c r="AI93" t="n">
        <v>3</v>
      </c>
      <c r="AJ93" t="n">
        <v>8</v>
      </c>
      <c r="AK93" t="n">
        <v>8</v>
      </c>
      <c r="AL93" t="n">
        <v>2</v>
      </c>
      <c r="AM93" t="n">
        <v>2</v>
      </c>
      <c r="AN93" t="n">
        <v>0</v>
      </c>
      <c r="AO93" t="n">
        <v>0</v>
      </c>
      <c r="AP93" t="inlineStr">
        <is>
          <t>No</t>
        </is>
      </c>
      <c r="AQ93" t="inlineStr">
        <is>
          <t>No</t>
        </is>
      </c>
      <c r="AR93">
        <f>HYPERLINK("http://catalog.hathitrust.org/Record/001556497","HathiTrust Record")</f>
        <v/>
      </c>
      <c r="AS93">
        <f>HYPERLINK("https://creighton-primo.hosted.exlibrisgroup.com/primo-explore/search?tab=default_tab&amp;search_scope=EVERYTHING&amp;vid=01CRU&amp;lang=en_US&amp;offset=0&amp;query=any,contains,991000896299702656","Catalog Record")</f>
        <v/>
      </c>
      <c r="AT93">
        <f>HYPERLINK("http://www.worldcat.org/oclc/557622","WorldCat Record")</f>
        <v/>
      </c>
      <c r="AU93" t="inlineStr">
        <is>
          <t>322553094:eng</t>
        </is>
      </c>
      <c r="AV93" t="inlineStr">
        <is>
          <t>557622</t>
        </is>
      </c>
      <c r="AW93" t="inlineStr">
        <is>
          <t>991000896299702656</t>
        </is>
      </c>
      <c r="AX93" t="inlineStr">
        <is>
          <t>991000896299702656</t>
        </is>
      </c>
      <c r="AY93" t="inlineStr">
        <is>
          <t>2261502800002656</t>
        </is>
      </c>
      <c r="AZ93" t="inlineStr">
        <is>
          <t>BOOK</t>
        </is>
      </c>
      <c r="BC93" t="inlineStr">
        <is>
          <t>30001000157216</t>
        </is>
      </c>
      <c r="BD93" t="inlineStr">
        <is>
          <t>893460105</t>
        </is>
      </c>
    </row>
    <row r="94">
      <c r="A94" t="inlineStr">
        <is>
          <t>No</t>
        </is>
      </c>
      <c r="B94" t="inlineStr">
        <is>
          <t>QU 34 B935i 1964</t>
        </is>
      </c>
      <c r="C94" t="inlineStr">
        <is>
          <t>0                      QU 0034000B  935i        1964</t>
        </is>
      </c>
      <c r="D94" t="inlineStr">
        <is>
          <t>An introduction to physical biochemistry / Henry B. Bull.</t>
        </is>
      </c>
      <c r="F94" t="inlineStr">
        <is>
          <t>No</t>
        </is>
      </c>
      <c r="G94" t="inlineStr">
        <is>
          <t>1</t>
        </is>
      </c>
      <c r="H94" t="inlineStr">
        <is>
          <t>No</t>
        </is>
      </c>
      <c r="I94" t="inlineStr">
        <is>
          <t>No</t>
        </is>
      </c>
      <c r="J94" t="inlineStr">
        <is>
          <t>0</t>
        </is>
      </c>
      <c r="K94" t="inlineStr">
        <is>
          <t>Bull, Henry B. (Henry Bolivar), 1905-1982.</t>
        </is>
      </c>
      <c r="L94" t="inlineStr">
        <is>
          <t>Philadelphia : F.A. Davis Co., 1964.</t>
        </is>
      </c>
      <c r="M94" t="inlineStr">
        <is>
          <t>1964</t>
        </is>
      </c>
      <c r="O94" t="inlineStr">
        <is>
          <t>eng</t>
        </is>
      </c>
      <c r="P94" t="inlineStr">
        <is>
          <t>pau</t>
        </is>
      </c>
      <c r="R94" t="inlineStr">
        <is>
          <t xml:space="preserve">QU </t>
        </is>
      </c>
      <c r="S94" t="n">
        <v>3</v>
      </c>
      <c r="T94" t="n">
        <v>3</v>
      </c>
      <c r="U94" t="inlineStr">
        <is>
          <t>1988-12-20</t>
        </is>
      </c>
      <c r="V94" t="inlineStr">
        <is>
          <t>1988-12-20</t>
        </is>
      </c>
      <c r="W94" t="inlineStr">
        <is>
          <t>1987-12-23</t>
        </is>
      </c>
      <c r="X94" t="inlineStr">
        <is>
          <t>1987-12-23</t>
        </is>
      </c>
      <c r="Y94" t="n">
        <v>262</v>
      </c>
      <c r="Z94" t="n">
        <v>184</v>
      </c>
      <c r="AA94" t="n">
        <v>328</v>
      </c>
      <c r="AB94" t="n">
        <v>2</v>
      </c>
      <c r="AC94" t="n">
        <v>3</v>
      </c>
      <c r="AD94" t="n">
        <v>4</v>
      </c>
      <c r="AE94" t="n">
        <v>9</v>
      </c>
      <c r="AF94" t="n">
        <v>1</v>
      </c>
      <c r="AG94" t="n">
        <v>1</v>
      </c>
      <c r="AH94" t="n">
        <v>2</v>
      </c>
      <c r="AI94" t="n">
        <v>4</v>
      </c>
      <c r="AJ94" t="n">
        <v>2</v>
      </c>
      <c r="AK94" t="n">
        <v>5</v>
      </c>
      <c r="AL94" t="n">
        <v>1</v>
      </c>
      <c r="AM94" t="n">
        <v>2</v>
      </c>
      <c r="AN94" t="n">
        <v>0</v>
      </c>
      <c r="AO94" t="n">
        <v>0</v>
      </c>
      <c r="AP94" t="inlineStr">
        <is>
          <t>No</t>
        </is>
      </c>
      <c r="AQ94" t="inlineStr">
        <is>
          <t>Yes</t>
        </is>
      </c>
      <c r="AR94">
        <f>HYPERLINK("http://catalog.hathitrust.org/Record/001492537","HathiTrust Record")</f>
        <v/>
      </c>
      <c r="AS94">
        <f>HYPERLINK("https://creighton-primo.hosted.exlibrisgroup.com/primo-explore/search?tab=default_tab&amp;search_scope=EVERYTHING&amp;vid=01CRU&amp;lang=en_US&amp;offset=0&amp;query=any,contains,991000896259702656","Catalog Record")</f>
        <v/>
      </c>
      <c r="AT94">
        <f>HYPERLINK("http://www.worldcat.org/oclc/485562","WorldCat Record")</f>
        <v/>
      </c>
      <c r="AU94" t="inlineStr">
        <is>
          <t>3855432417:eng</t>
        </is>
      </c>
      <c r="AV94" t="inlineStr">
        <is>
          <t>485562</t>
        </is>
      </c>
      <c r="AW94" t="inlineStr">
        <is>
          <t>991000896259702656</t>
        </is>
      </c>
      <c r="AX94" t="inlineStr">
        <is>
          <t>991000896259702656</t>
        </is>
      </c>
      <c r="AY94" t="inlineStr">
        <is>
          <t>2257486090002656</t>
        </is>
      </c>
      <c r="AZ94" t="inlineStr">
        <is>
          <t>BOOK</t>
        </is>
      </c>
      <c r="BC94" t="inlineStr">
        <is>
          <t>30001000157190</t>
        </is>
      </c>
      <c r="BD94" t="inlineStr">
        <is>
          <t>893464977</t>
        </is>
      </c>
    </row>
    <row r="95">
      <c r="A95" t="inlineStr">
        <is>
          <t>No</t>
        </is>
      </c>
      <c r="B95" t="inlineStr">
        <is>
          <t>QU 34 D611 1985</t>
        </is>
      </c>
      <c r="C95" t="inlineStr">
        <is>
          <t>0                      QU 0034000D  611         1985</t>
        </is>
      </c>
      <c r="D95" t="inlineStr">
        <is>
          <t>Disease processes / edited by Roland C. Aloia and Joan M. Boggs.</t>
        </is>
      </c>
      <c r="E95" t="inlineStr">
        <is>
          <t>V. 3</t>
        </is>
      </c>
      <c r="F95" t="inlineStr">
        <is>
          <t>No</t>
        </is>
      </c>
      <c r="G95" t="inlineStr">
        <is>
          <t>1</t>
        </is>
      </c>
      <c r="H95" t="inlineStr">
        <is>
          <t>No</t>
        </is>
      </c>
      <c r="I95" t="inlineStr">
        <is>
          <t>No</t>
        </is>
      </c>
      <c r="J95" t="inlineStr">
        <is>
          <t>0</t>
        </is>
      </c>
      <c r="L95" t="inlineStr">
        <is>
          <t>Orlando : Academic Press, c1985.</t>
        </is>
      </c>
      <c r="M95" t="inlineStr">
        <is>
          <t>1985</t>
        </is>
      </c>
      <c r="O95" t="inlineStr">
        <is>
          <t>eng</t>
        </is>
      </c>
      <c r="P95" t="inlineStr">
        <is>
          <t xml:space="preserve">xx </t>
        </is>
      </c>
      <c r="Q95" t="inlineStr">
        <is>
          <t>Membrane fluidity in biology ; v. 3</t>
        </is>
      </c>
      <c r="R95" t="inlineStr">
        <is>
          <t xml:space="preserve">QU </t>
        </is>
      </c>
      <c r="S95" t="n">
        <v>2</v>
      </c>
      <c r="T95" t="n">
        <v>2</v>
      </c>
      <c r="U95" t="inlineStr">
        <is>
          <t>1990-12-18</t>
        </is>
      </c>
      <c r="V95" t="inlineStr">
        <is>
          <t>1990-12-18</t>
        </is>
      </c>
      <c r="W95" t="inlineStr">
        <is>
          <t>1988-01-26</t>
        </is>
      </c>
      <c r="X95" t="inlineStr">
        <is>
          <t>1988-01-26</t>
        </is>
      </c>
      <c r="Y95" t="n">
        <v>3</v>
      </c>
      <c r="Z95" t="n">
        <v>3</v>
      </c>
      <c r="AA95" t="n">
        <v>3</v>
      </c>
      <c r="AB95" t="n">
        <v>1</v>
      </c>
      <c r="AC95" t="n">
        <v>1</v>
      </c>
      <c r="AD95" t="n">
        <v>0</v>
      </c>
      <c r="AE95" t="n">
        <v>0</v>
      </c>
      <c r="AF95" t="n">
        <v>0</v>
      </c>
      <c r="AG95" t="n">
        <v>0</v>
      </c>
      <c r="AH95" t="n">
        <v>0</v>
      </c>
      <c r="AI95" t="n">
        <v>0</v>
      </c>
      <c r="AJ95" t="n">
        <v>0</v>
      </c>
      <c r="AK95" t="n">
        <v>0</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HYPERLINK("https://creighton-primo.hosted.exlibrisgroup.com/primo-explore/search?tab=default_tab&amp;search_scope=EVERYTHING&amp;vid=01CRU&amp;lang=en_US&amp;offset=0&amp;query=any,contains,991000896229702656","Catalog Record")</f>
        <v/>
      </c>
      <c r="AT95">
        <f>HYPERLINK("http://www.worldcat.org/oclc/10723818","WorldCat Record")</f>
        <v/>
      </c>
      <c r="AU95" t="inlineStr">
        <is>
          <t>3855320887:eng</t>
        </is>
      </c>
      <c r="AV95" t="inlineStr">
        <is>
          <t>10723818</t>
        </is>
      </c>
      <c r="AW95" t="inlineStr">
        <is>
          <t>991000896229702656</t>
        </is>
      </c>
      <c r="AX95" t="inlineStr">
        <is>
          <t>991000896229702656</t>
        </is>
      </c>
      <c r="AY95" t="inlineStr">
        <is>
          <t>2255648710002656</t>
        </is>
      </c>
      <c r="AZ95" t="inlineStr">
        <is>
          <t>BOOK</t>
        </is>
      </c>
      <c r="BB95" t="inlineStr">
        <is>
          <t>9780120530038</t>
        </is>
      </c>
      <c r="BC95" t="inlineStr">
        <is>
          <t>30001000157182</t>
        </is>
      </c>
      <c r="BD95" t="inlineStr">
        <is>
          <t>893161434</t>
        </is>
      </c>
    </row>
    <row r="96">
      <c r="A96" t="inlineStr">
        <is>
          <t>No</t>
        </is>
      </c>
      <c r="B96" t="inlineStr">
        <is>
          <t>QU 34 H238b 1997</t>
        </is>
      </c>
      <c r="C96" t="inlineStr">
        <is>
          <t>0                      QU 0034000H  238b        1997</t>
        </is>
      </c>
      <c r="D96" t="inlineStr">
        <is>
          <t>Biomacromolecules--from 3-D to applications / Thirty-fourth Hanford Symposium on Health and the Environment, October 23-26, 1995, Pasco, Washington, U.S.A. ; edited by Rick L. Ornstein.</t>
        </is>
      </c>
      <c r="F96" t="inlineStr">
        <is>
          <t>No</t>
        </is>
      </c>
      <c r="G96" t="inlineStr">
        <is>
          <t>1</t>
        </is>
      </c>
      <c r="H96" t="inlineStr">
        <is>
          <t>No</t>
        </is>
      </c>
      <c r="I96" t="inlineStr">
        <is>
          <t>No</t>
        </is>
      </c>
      <c r="J96" t="inlineStr">
        <is>
          <t>0</t>
        </is>
      </c>
      <c r="K96" t="inlineStr">
        <is>
          <t>Hanford Symposium on Health and the Environment (34th : 1995 : Pasco, Wash.)</t>
        </is>
      </c>
      <c r="L96" t="inlineStr">
        <is>
          <t>Columbus, OH : Battelle Press, c1997.</t>
        </is>
      </c>
      <c r="M96" t="inlineStr">
        <is>
          <t>1997</t>
        </is>
      </c>
      <c r="O96" t="inlineStr">
        <is>
          <t>eng</t>
        </is>
      </c>
      <c r="P96" t="inlineStr">
        <is>
          <t>ohu</t>
        </is>
      </c>
      <c r="R96" t="inlineStr">
        <is>
          <t xml:space="preserve">QU </t>
        </is>
      </c>
      <c r="S96" t="n">
        <v>3</v>
      </c>
      <c r="T96" t="n">
        <v>3</v>
      </c>
      <c r="U96" t="inlineStr">
        <is>
          <t>1998-02-27</t>
        </is>
      </c>
      <c r="V96" t="inlineStr">
        <is>
          <t>1998-02-27</t>
        </is>
      </c>
      <c r="W96" t="inlineStr">
        <is>
          <t>1998-02-27</t>
        </is>
      </c>
      <c r="X96" t="inlineStr">
        <is>
          <t>1998-02-27</t>
        </is>
      </c>
      <c r="Y96" t="n">
        <v>124</v>
      </c>
      <c r="Z96" t="n">
        <v>113</v>
      </c>
      <c r="AA96" t="n">
        <v>115</v>
      </c>
      <c r="AB96" t="n">
        <v>1</v>
      </c>
      <c r="AC96" t="n">
        <v>1</v>
      </c>
      <c r="AD96" t="n">
        <v>4</v>
      </c>
      <c r="AE96" t="n">
        <v>4</v>
      </c>
      <c r="AF96" t="n">
        <v>1</v>
      </c>
      <c r="AG96" t="n">
        <v>1</v>
      </c>
      <c r="AH96" t="n">
        <v>2</v>
      </c>
      <c r="AI96" t="n">
        <v>2</v>
      </c>
      <c r="AJ96" t="n">
        <v>2</v>
      </c>
      <c r="AK96" t="n">
        <v>2</v>
      </c>
      <c r="AL96" t="n">
        <v>0</v>
      </c>
      <c r="AM96" t="n">
        <v>0</v>
      </c>
      <c r="AN96" t="n">
        <v>0</v>
      </c>
      <c r="AO96" t="n">
        <v>0</v>
      </c>
      <c r="AP96" t="inlineStr">
        <is>
          <t>No</t>
        </is>
      </c>
      <c r="AQ96" t="inlineStr">
        <is>
          <t>Yes</t>
        </is>
      </c>
      <c r="AR96">
        <f>HYPERLINK("http://catalog.hathitrust.org/Record/003251398","HathiTrust Record")</f>
        <v/>
      </c>
      <c r="AS96">
        <f>HYPERLINK("https://creighton-primo.hosted.exlibrisgroup.com/primo-explore/search?tab=default_tab&amp;search_scope=EVERYTHING&amp;vid=01CRU&amp;lang=en_US&amp;offset=0&amp;query=any,contains,991001295579702656","Catalog Record")</f>
        <v/>
      </c>
      <c r="AT96">
        <f>HYPERLINK("http://www.worldcat.org/oclc/35172551","WorldCat Record")</f>
        <v/>
      </c>
      <c r="AU96" t="inlineStr">
        <is>
          <t>138809106:eng</t>
        </is>
      </c>
      <c r="AV96" t="inlineStr">
        <is>
          <t>35172551</t>
        </is>
      </c>
      <c r="AW96" t="inlineStr">
        <is>
          <t>991001295579702656</t>
        </is>
      </c>
      <c r="AX96" t="inlineStr">
        <is>
          <t>991001295579702656</t>
        </is>
      </c>
      <c r="AY96" t="inlineStr">
        <is>
          <t>2257226780002656</t>
        </is>
      </c>
      <c r="AZ96" t="inlineStr">
        <is>
          <t>BOOK</t>
        </is>
      </c>
      <c r="BB96" t="inlineStr">
        <is>
          <t>9781574770193</t>
        </is>
      </c>
      <c r="BC96" t="inlineStr">
        <is>
          <t>30001003741982</t>
        </is>
      </c>
      <c r="BD96" t="inlineStr">
        <is>
          <t>893455672</t>
        </is>
      </c>
    </row>
    <row r="97">
      <c r="A97" t="inlineStr">
        <is>
          <t>No</t>
        </is>
      </c>
      <c r="B97" t="inlineStr">
        <is>
          <t>QU 34 K66 1972</t>
        </is>
      </c>
      <c r="C97" t="inlineStr">
        <is>
          <t>0                      QU 0034000K  66          1972</t>
        </is>
      </c>
      <c r="D97" t="inlineStr">
        <is>
          <t>Introduction to chemical thermodynamics / Irving M. Klotz , Robert M. Rosenberg ; with advice and suggestions from Thomas Fraser Young.</t>
        </is>
      </c>
      <c r="F97" t="inlineStr">
        <is>
          <t>No</t>
        </is>
      </c>
      <c r="G97" t="inlineStr">
        <is>
          <t>1</t>
        </is>
      </c>
      <c r="H97" t="inlineStr">
        <is>
          <t>No</t>
        </is>
      </c>
      <c r="I97" t="inlineStr">
        <is>
          <t>No</t>
        </is>
      </c>
      <c r="J97" t="inlineStr">
        <is>
          <t>0</t>
        </is>
      </c>
      <c r="K97" t="inlineStr">
        <is>
          <t>Klotz, Irving M. (Irving Myron), 1916-2005.</t>
        </is>
      </c>
      <c r="L97" t="inlineStr">
        <is>
          <t>Menlo Park, Calif. : W. A. Benjamin, 1972</t>
        </is>
      </c>
      <c r="M97" t="inlineStr">
        <is>
          <t>1972</t>
        </is>
      </c>
      <c r="N97" t="inlineStr">
        <is>
          <t>-- 2d ed. --</t>
        </is>
      </c>
      <c r="O97" t="inlineStr">
        <is>
          <t>eng</t>
        </is>
      </c>
      <c r="P97" t="inlineStr">
        <is>
          <t>cau</t>
        </is>
      </c>
      <c r="R97" t="inlineStr">
        <is>
          <t xml:space="preserve">QU </t>
        </is>
      </c>
      <c r="S97" t="n">
        <v>4</v>
      </c>
      <c r="T97" t="n">
        <v>4</v>
      </c>
      <c r="U97" t="inlineStr">
        <is>
          <t>1999-09-10</t>
        </is>
      </c>
      <c r="V97" t="inlineStr">
        <is>
          <t>1999-09-10</t>
        </is>
      </c>
      <c r="W97" t="inlineStr">
        <is>
          <t>1988-01-26</t>
        </is>
      </c>
      <c r="X97" t="inlineStr">
        <is>
          <t>1988-01-26</t>
        </is>
      </c>
      <c r="Y97" t="n">
        <v>132</v>
      </c>
      <c r="Z97" t="n">
        <v>81</v>
      </c>
      <c r="AA97" t="n">
        <v>250</v>
      </c>
      <c r="AB97" t="n">
        <v>1</v>
      </c>
      <c r="AC97" t="n">
        <v>1</v>
      </c>
      <c r="AD97" t="n">
        <v>2</v>
      </c>
      <c r="AE97" t="n">
        <v>8</v>
      </c>
      <c r="AF97" t="n">
        <v>1</v>
      </c>
      <c r="AG97" t="n">
        <v>2</v>
      </c>
      <c r="AH97" t="n">
        <v>1</v>
      </c>
      <c r="AI97" t="n">
        <v>2</v>
      </c>
      <c r="AJ97" t="n">
        <v>1</v>
      </c>
      <c r="AK97" t="n">
        <v>6</v>
      </c>
      <c r="AL97" t="n">
        <v>0</v>
      </c>
      <c r="AM97" t="n">
        <v>0</v>
      </c>
      <c r="AN97" t="n">
        <v>0</v>
      </c>
      <c r="AO97" t="n">
        <v>0</v>
      </c>
      <c r="AP97" t="inlineStr">
        <is>
          <t>No</t>
        </is>
      </c>
      <c r="AQ97" t="inlineStr">
        <is>
          <t>Yes</t>
        </is>
      </c>
      <c r="AR97">
        <f>HYPERLINK("http://catalog.hathitrust.org/Record/001034762","HathiTrust Record")</f>
        <v/>
      </c>
      <c r="AS97">
        <f>HYPERLINK("https://creighton-primo.hosted.exlibrisgroup.com/primo-explore/search?tab=default_tab&amp;search_scope=EVERYTHING&amp;vid=01CRU&amp;lang=en_US&amp;offset=0&amp;query=any,contains,991000896199702656","Catalog Record")</f>
        <v/>
      </c>
      <c r="AT97">
        <f>HYPERLINK("http://www.worldcat.org/oclc/410490","WorldCat Record")</f>
        <v/>
      </c>
      <c r="AU97" t="inlineStr">
        <is>
          <t>3855446744:eng</t>
        </is>
      </c>
      <c r="AV97" t="inlineStr">
        <is>
          <t>410490</t>
        </is>
      </c>
      <c r="AW97" t="inlineStr">
        <is>
          <t>991000896199702656</t>
        </is>
      </c>
      <c r="AX97" t="inlineStr">
        <is>
          <t>991000896199702656</t>
        </is>
      </c>
      <c r="AY97" t="inlineStr">
        <is>
          <t>2262529050002656</t>
        </is>
      </c>
      <c r="AZ97" t="inlineStr">
        <is>
          <t>BOOK</t>
        </is>
      </c>
      <c r="BC97" t="inlineStr">
        <is>
          <t>30001000157166</t>
        </is>
      </c>
      <c r="BD97" t="inlineStr">
        <is>
          <t>893283994</t>
        </is>
      </c>
    </row>
    <row r="98">
      <c r="A98" t="inlineStr">
        <is>
          <t>No</t>
        </is>
      </c>
      <c r="B98" t="inlineStr">
        <is>
          <t>QU 34 K96a 1982</t>
        </is>
      </c>
      <c r="C98" t="inlineStr">
        <is>
          <t>0                      QU 0034000K  96a         1982</t>
        </is>
      </c>
      <c r="D98" t="inlineStr">
        <is>
          <t>Allosteric enzymes : kinetic behaviour / B.I. Kurganov ; translated by R.F. Brookes ; editor in chief, V.A. Yakovlev.</t>
        </is>
      </c>
      <c r="F98" t="inlineStr">
        <is>
          <t>No</t>
        </is>
      </c>
      <c r="G98" t="inlineStr">
        <is>
          <t>1</t>
        </is>
      </c>
      <c r="H98" t="inlineStr">
        <is>
          <t>No</t>
        </is>
      </c>
      <c r="I98" t="inlineStr">
        <is>
          <t>No</t>
        </is>
      </c>
      <c r="J98" t="inlineStr">
        <is>
          <t>0</t>
        </is>
      </c>
      <c r="K98" t="inlineStr">
        <is>
          <t>Kurganov, B. I. (Boris Ivanovich)</t>
        </is>
      </c>
      <c r="L98" t="inlineStr">
        <is>
          <t>Chichester ; New York : J. Wiley, c1982.</t>
        </is>
      </c>
      <c r="M98" t="inlineStr">
        <is>
          <t>1982</t>
        </is>
      </c>
      <c r="O98" t="inlineStr">
        <is>
          <t>eng</t>
        </is>
      </c>
      <c r="P98" t="inlineStr">
        <is>
          <t>enk</t>
        </is>
      </c>
      <c r="R98" t="inlineStr">
        <is>
          <t xml:space="preserve">QU </t>
        </is>
      </c>
      <c r="S98" t="n">
        <v>6</v>
      </c>
      <c r="T98" t="n">
        <v>6</v>
      </c>
      <c r="U98" t="inlineStr">
        <is>
          <t>1991-04-14</t>
        </is>
      </c>
      <c r="V98" t="inlineStr">
        <is>
          <t>1991-04-14</t>
        </is>
      </c>
      <c r="W98" t="inlineStr">
        <is>
          <t>1988-01-26</t>
        </is>
      </c>
      <c r="X98" t="inlineStr">
        <is>
          <t>1988-01-26</t>
        </is>
      </c>
      <c r="Y98" t="n">
        <v>177</v>
      </c>
      <c r="Z98" t="n">
        <v>121</v>
      </c>
      <c r="AA98" t="n">
        <v>123</v>
      </c>
      <c r="AB98" t="n">
        <v>1</v>
      </c>
      <c r="AC98" t="n">
        <v>1</v>
      </c>
      <c r="AD98" t="n">
        <v>0</v>
      </c>
      <c r="AE98" t="n">
        <v>1</v>
      </c>
      <c r="AF98" t="n">
        <v>0</v>
      </c>
      <c r="AG98" t="n">
        <v>1</v>
      </c>
      <c r="AH98" t="n">
        <v>0</v>
      </c>
      <c r="AI98" t="n">
        <v>0</v>
      </c>
      <c r="AJ98" t="n">
        <v>0</v>
      </c>
      <c r="AK98" t="n">
        <v>1</v>
      </c>
      <c r="AL98" t="n">
        <v>0</v>
      </c>
      <c r="AM98" t="n">
        <v>0</v>
      </c>
      <c r="AN98" t="n">
        <v>0</v>
      </c>
      <c r="AO98" t="n">
        <v>0</v>
      </c>
      <c r="AP98" t="inlineStr">
        <is>
          <t>No</t>
        </is>
      </c>
      <c r="AQ98" t="inlineStr">
        <is>
          <t>Yes</t>
        </is>
      </c>
      <c r="AR98">
        <f>HYPERLINK("http://catalog.hathitrust.org/Record/000202600","HathiTrust Record")</f>
        <v/>
      </c>
      <c r="AS98">
        <f>HYPERLINK("https://creighton-primo.hosted.exlibrisgroup.com/primo-explore/search?tab=default_tab&amp;search_scope=EVERYTHING&amp;vid=01CRU&amp;lang=en_US&amp;offset=0&amp;query=any,contains,991000896169702656","Catalog Record")</f>
        <v/>
      </c>
      <c r="AT98">
        <f>HYPERLINK("http://www.worldcat.org/oclc/8034927","WorldCat Record")</f>
        <v/>
      </c>
      <c r="AU98" t="inlineStr">
        <is>
          <t>9141715:eng</t>
        </is>
      </c>
      <c r="AV98" t="inlineStr">
        <is>
          <t>8034927</t>
        </is>
      </c>
      <c r="AW98" t="inlineStr">
        <is>
          <t>991000896169702656</t>
        </is>
      </c>
      <c r="AX98" t="inlineStr">
        <is>
          <t>991000896169702656</t>
        </is>
      </c>
      <c r="AY98" t="inlineStr">
        <is>
          <t>2269980270002656</t>
        </is>
      </c>
      <c r="AZ98" t="inlineStr">
        <is>
          <t>BOOK</t>
        </is>
      </c>
      <c r="BB98" t="inlineStr">
        <is>
          <t>9780471101956</t>
        </is>
      </c>
      <c r="BC98" t="inlineStr">
        <is>
          <t>30001000157158</t>
        </is>
      </c>
      <c r="BD98" t="inlineStr">
        <is>
          <t>893557379</t>
        </is>
      </c>
    </row>
    <row r="99">
      <c r="A99" t="inlineStr">
        <is>
          <t>No</t>
        </is>
      </c>
      <c r="B99" t="inlineStr">
        <is>
          <t>QU 34 O81e 2003</t>
        </is>
      </c>
      <c r="C99" t="inlineStr">
        <is>
          <t>0                      QU 0034000O  81e         2003</t>
        </is>
      </c>
      <c r="D99" t="inlineStr">
        <is>
          <t>Energy medicine in therapeutics and human performance / James L. Oschman ; foreword by Karl Maret.</t>
        </is>
      </c>
      <c r="F99" t="inlineStr">
        <is>
          <t>No</t>
        </is>
      </c>
      <c r="G99" t="inlineStr">
        <is>
          <t>1</t>
        </is>
      </c>
      <c r="H99" t="inlineStr">
        <is>
          <t>No</t>
        </is>
      </c>
      <c r="I99" t="inlineStr">
        <is>
          <t>No</t>
        </is>
      </c>
      <c r="J99" t="inlineStr">
        <is>
          <t>0</t>
        </is>
      </c>
      <c r="K99" t="inlineStr">
        <is>
          <t>Oschman, James L.</t>
        </is>
      </c>
      <c r="L99" t="inlineStr">
        <is>
          <t>Amsterdam ; Boston : Butterworth Heinemann, c2003.</t>
        </is>
      </c>
      <c r="M99" t="inlineStr">
        <is>
          <t>2003</t>
        </is>
      </c>
      <c r="O99" t="inlineStr">
        <is>
          <t>eng</t>
        </is>
      </c>
      <c r="P99" t="inlineStr">
        <is>
          <t xml:space="preserve">ne </t>
        </is>
      </c>
      <c r="R99" t="inlineStr">
        <is>
          <t xml:space="preserve">QU </t>
        </is>
      </c>
      <c r="S99" t="n">
        <v>8</v>
      </c>
      <c r="T99" t="n">
        <v>8</v>
      </c>
      <c r="U99" t="inlineStr">
        <is>
          <t>2005-02-27</t>
        </is>
      </c>
      <c r="V99" t="inlineStr">
        <is>
          <t>2005-02-27</t>
        </is>
      </c>
      <c r="W99" t="inlineStr">
        <is>
          <t>2004-09-24</t>
        </is>
      </c>
      <c r="X99" t="inlineStr">
        <is>
          <t>2004-09-24</t>
        </is>
      </c>
      <c r="Y99" t="n">
        <v>143</v>
      </c>
      <c r="Z99" t="n">
        <v>99</v>
      </c>
      <c r="AA99" t="n">
        <v>126</v>
      </c>
      <c r="AB99" t="n">
        <v>1</v>
      </c>
      <c r="AC99" t="n">
        <v>1</v>
      </c>
      <c r="AD99" t="n">
        <v>4</v>
      </c>
      <c r="AE99" t="n">
        <v>5</v>
      </c>
      <c r="AF99" t="n">
        <v>1</v>
      </c>
      <c r="AG99" t="n">
        <v>1</v>
      </c>
      <c r="AH99" t="n">
        <v>2</v>
      </c>
      <c r="AI99" t="n">
        <v>3</v>
      </c>
      <c r="AJ99" t="n">
        <v>2</v>
      </c>
      <c r="AK99" t="n">
        <v>2</v>
      </c>
      <c r="AL99" t="n">
        <v>0</v>
      </c>
      <c r="AM99" t="n">
        <v>0</v>
      </c>
      <c r="AN99" t="n">
        <v>0</v>
      </c>
      <c r="AO99" t="n">
        <v>0</v>
      </c>
      <c r="AP99" t="inlineStr">
        <is>
          <t>No</t>
        </is>
      </c>
      <c r="AQ99" t="inlineStr">
        <is>
          <t>Yes</t>
        </is>
      </c>
      <c r="AR99">
        <f>HYPERLINK("http://catalog.hathitrust.org/Record/004337902","HathiTrust Record")</f>
        <v/>
      </c>
      <c r="AS99">
        <f>HYPERLINK("https://creighton-primo.hosted.exlibrisgroup.com/primo-explore/search?tab=default_tab&amp;search_scope=EVERYTHING&amp;vid=01CRU&amp;lang=en_US&amp;offset=0&amp;query=any,contains,991000396729702656","Catalog Record")</f>
        <v/>
      </c>
      <c r="AT99">
        <f>HYPERLINK("http://www.worldcat.org/oclc/51172070","WorldCat Record")</f>
        <v/>
      </c>
      <c r="AU99" t="inlineStr">
        <is>
          <t>746467:eng</t>
        </is>
      </c>
      <c r="AV99" t="inlineStr">
        <is>
          <t>51172070</t>
        </is>
      </c>
      <c r="AW99" t="inlineStr">
        <is>
          <t>991000396729702656</t>
        </is>
      </c>
      <c r="AX99" t="inlineStr">
        <is>
          <t>991000396729702656</t>
        </is>
      </c>
      <c r="AY99" t="inlineStr">
        <is>
          <t>2263353670002656</t>
        </is>
      </c>
      <c r="AZ99" t="inlineStr">
        <is>
          <t>BOOK</t>
        </is>
      </c>
      <c r="BB99" t="inlineStr">
        <is>
          <t>9780750654005</t>
        </is>
      </c>
      <c r="BC99" t="inlineStr">
        <is>
          <t>30001004978690</t>
        </is>
      </c>
      <c r="BD99" t="inlineStr">
        <is>
          <t>893354272</t>
        </is>
      </c>
    </row>
    <row r="100">
      <c r="A100" t="inlineStr">
        <is>
          <t>No</t>
        </is>
      </c>
      <c r="B100" t="inlineStr">
        <is>
          <t>QU 34 P578 1984</t>
        </is>
      </c>
      <c r="C100" t="inlineStr">
        <is>
          <t>0                      QU 0034000P  578         1984</t>
        </is>
      </c>
      <c r="D100" t="inlineStr">
        <is>
          <t>Physiology of membrane fluidity / editor, Meir Shinitzky.</t>
        </is>
      </c>
      <c r="E100" t="inlineStr">
        <is>
          <t>V. 2</t>
        </is>
      </c>
      <c r="F100" t="inlineStr">
        <is>
          <t>Yes</t>
        </is>
      </c>
      <c r="G100" t="inlineStr">
        <is>
          <t>1</t>
        </is>
      </c>
      <c r="H100" t="inlineStr">
        <is>
          <t>No</t>
        </is>
      </c>
      <c r="I100" t="inlineStr">
        <is>
          <t>No</t>
        </is>
      </c>
      <c r="J100" t="inlineStr">
        <is>
          <t>0</t>
        </is>
      </c>
      <c r="L100" t="inlineStr">
        <is>
          <t>Boca Raton, Fla. : CRC Press, c1984.</t>
        </is>
      </c>
      <c r="M100" t="inlineStr">
        <is>
          <t>1984</t>
        </is>
      </c>
      <c r="O100" t="inlineStr">
        <is>
          <t>eng</t>
        </is>
      </c>
      <c r="P100" t="inlineStr">
        <is>
          <t>xxu</t>
        </is>
      </c>
      <c r="R100" t="inlineStr">
        <is>
          <t xml:space="preserve">QU </t>
        </is>
      </c>
      <c r="S100" t="n">
        <v>1</v>
      </c>
      <c r="T100" t="n">
        <v>2</v>
      </c>
      <c r="U100" t="inlineStr">
        <is>
          <t>1994-02-09</t>
        </is>
      </c>
      <c r="V100" t="inlineStr">
        <is>
          <t>1994-02-09</t>
        </is>
      </c>
      <c r="W100" t="inlineStr">
        <is>
          <t>1988-01-26</t>
        </is>
      </c>
      <c r="X100" t="inlineStr">
        <is>
          <t>1988-01-26</t>
        </is>
      </c>
      <c r="Y100" t="n">
        <v>262</v>
      </c>
      <c r="Z100" t="n">
        <v>192</v>
      </c>
      <c r="AA100" t="n">
        <v>194</v>
      </c>
      <c r="AB100" t="n">
        <v>2</v>
      </c>
      <c r="AC100" t="n">
        <v>2</v>
      </c>
      <c r="AD100" t="n">
        <v>5</v>
      </c>
      <c r="AE100" t="n">
        <v>5</v>
      </c>
      <c r="AF100" t="n">
        <v>0</v>
      </c>
      <c r="AG100" t="n">
        <v>0</v>
      </c>
      <c r="AH100" t="n">
        <v>2</v>
      </c>
      <c r="AI100" t="n">
        <v>2</v>
      </c>
      <c r="AJ100" t="n">
        <v>3</v>
      </c>
      <c r="AK100" t="n">
        <v>3</v>
      </c>
      <c r="AL100" t="n">
        <v>1</v>
      </c>
      <c r="AM100" t="n">
        <v>1</v>
      </c>
      <c r="AN100" t="n">
        <v>0</v>
      </c>
      <c r="AO100" t="n">
        <v>0</v>
      </c>
      <c r="AP100" t="inlineStr">
        <is>
          <t>No</t>
        </is>
      </c>
      <c r="AQ100" t="inlineStr">
        <is>
          <t>Yes</t>
        </is>
      </c>
      <c r="AR100">
        <f>HYPERLINK("http://catalog.hathitrust.org/Record/000332565","HathiTrust Record")</f>
        <v/>
      </c>
      <c r="AS100">
        <f>HYPERLINK("https://creighton-primo.hosted.exlibrisgroup.com/primo-explore/search?tab=default_tab&amp;search_scope=EVERYTHING&amp;vid=01CRU&amp;lang=en_US&amp;offset=0&amp;query=any,contains,991000896129702656","Catalog Record")</f>
        <v/>
      </c>
      <c r="AT100">
        <f>HYPERLINK("http://www.worldcat.org/oclc/10229664","WorldCat Record")</f>
        <v/>
      </c>
      <c r="AU100" t="inlineStr">
        <is>
          <t>9964635462:eng</t>
        </is>
      </c>
      <c r="AV100" t="inlineStr">
        <is>
          <t>10229664</t>
        </is>
      </c>
      <c r="AW100" t="inlineStr">
        <is>
          <t>991000896129702656</t>
        </is>
      </c>
      <c r="AX100" t="inlineStr">
        <is>
          <t>991000896129702656</t>
        </is>
      </c>
      <c r="AY100" t="inlineStr">
        <is>
          <t>2264663550002656</t>
        </is>
      </c>
      <c r="AZ100" t="inlineStr">
        <is>
          <t>BOOK</t>
        </is>
      </c>
      <c r="BB100" t="inlineStr">
        <is>
          <t>9780849361418</t>
        </is>
      </c>
      <c r="BC100" t="inlineStr">
        <is>
          <t>30001000157133</t>
        </is>
      </c>
      <c r="BD100" t="inlineStr">
        <is>
          <t>893267690</t>
        </is>
      </c>
    </row>
    <row r="101">
      <c r="A101" t="inlineStr">
        <is>
          <t>No</t>
        </is>
      </c>
      <c r="B101" t="inlineStr">
        <is>
          <t>QU 34 P578 1984</t>
        </is>
      </c>
      <c r="C101" t="inlineStr">
        <is>
          <t>0                      QU 0034000P  578         1984</t>
        </is>
      </c>
      <c r="D101" t="inlineStr">
        <is>
          <t>Physiology of membrane fluidity / editor, Meir Shinitzky.</t>
        </is>
      </c>
      <c r="E101" t="inlineStr">
        <is>
          <t>V. 1</t>
        </is>
      </c>
      <c r="F101" t="inlineStr">
        <is>
          <t>Yes</t>
        </is>
      </c>
      <c r="G101" t="inlineStr">
        <is>
          <t>1</t>
        </is>
      </c>
      <c r="H101" t="inlineStr">
        <is>
          <t>No</t>
        </is>
      </c>
      <c r="I101" t="inlineStr">
        <is>
          <t>No</t>
        </is>
      </c>
      <c r="J101" t="inlineStr">
        <is>
          <t>0</t>
        </is>
      </c>
      <c r="L101" t="inlineStr">
        <is>
          <t>Boca Raton, Fla. : CRC Press, c1984.</t>
        </is>
      </c>
      <c r="M101" t="inlineStr">
        <is>
          <t>1984</t>
        </is>
      </c>
      <c r="O101" t="inlineStr">
        <is>
          <t>eng</t>
        </is>
      </c>
      <c r="P101" t="inlineStr">
        <is>
          <t>xxu</t>
        </is>
      </c>
      <c r="R101" t="inlineStr">
        <is>
          <t xml:space="preserve">QU </t>
        </is>
      </c>
      <c r="S101" t="n">
        <v>1</v>
      </c>
      <c r="T101" t="n">
        <v>2</v>
      </c>
      <c r="U101" t="inlineStr">
        <is>
          <t>1994-02-09</t>
        </is>
      </c>
      <c r="V101" t="inlineStr">
        <is>
          <t>1994-02-09</t>
        </is>
      </c>
      <c r="W101" t="inlineStr">
        <is>
          <t>1988-01-26</t>
        </is>
      </c>
      <c r="X101" t="inlineStr">
        <is>
          <t>1988-01-26</t>
        </is>
      </c>
      <c r="Y101" t="n">
        <v>262</v>
      </c>
      <c r="Z101" t="n">
        <v>192</v>
      </c>
      <c r="AA101" t="n">
        <v>194</v>
      </c>
      <c r="AB101" t="n">
        <v>2</v>
      </c>
      <c r="AC101" t="n">
        <v>2</v>
      </c>
      <c r="AD101" t="n">
        <v>5</v>
      </c>
      <c r="AE101" t="n">
        <v>5</v>
      </c>
      <c r="AF101" t="n">
        <v>0</v>
      </c>
      <c r="AG101" t="n">
        <v>0</v>
      </c>
      <c r="AH101" t="n">
        <v>2</v>
      </c>
      <c r="AI101" t="n">
        <v>2</v>
      </c>
      <c r="AJ101" t="n">
        <v>3</v>
      </c>
      <c r="AK101" t="n">
        <v>3</v>
      </c>
      <c r="AL101" t="n">
        <v>1</v>
      </c>
      <c r="AM101" t="n">
        <v>1</v>
      </c>
      <c r="AN101" t="n">
        <v>0</v>
      </c>
      <c r="AO101" t="n">
        <v>0</v>
      </c>
      <c r="AP101" t="inlineStr">
        <is>
          <t>No</t>
        </is>
      </c>
      <c r="AQ101" t="inlineStr">
        <is>
          <t>Yes</t>
        </is>
      </c>
      <c r="AR101">
        <f>HYPERLINK("http://catalog.hathitrust.org/Record/000332565","HathiTrust Record")</f>
        <v/>
      </c>
      <c r="AS101">
        <f>HYPERLINK("https://creighton-primo.hosted.exlibrisgroup.com/primo-explore/search?tab=default_tab&amp;search_scope=EVERYTHING&amp;vid=01CRU&amp;lang=en_US&amp;offset=0&amp;query=any,contains,991000896129702656","Catalog Record")</f>
        <v/>
      </c>
      <c r="AT101">
        <f>HYPERLINK("http://www.worldcat.org/oclc/10229664","WorldCat Record")</f>
        <v/>
      </c>
      <c r="AU101" t="inlineStr">
        <is>
          <t>9964635462:eng</t>
        </is>
      </c>
      <c r="AV101" t="inlineStr">
        <is>
          <t>10229664</t>
        </is>
      </c>
      <c r="AW101" t="inlineStr">
        <is>
          <t>991000896129702656</t>
        </is>
      </c>
      <c r="AX101" t="inlineStr">
        <is>
          <t>991000896129702656</t>
        </is>
      </c>
      <c r="AY101" t="inlineStr">
        <is>
          <t>2264663550002656</t>
        </is>
      </c>
      <c r="AZ101" t="inlineStr">
        <is>
          <t>BOOK</t>
        </is>
      </c>
      <c r="BB101" t="inlineStr">
        <is>
          <t>9780849361418</t>
        </is>
      </c>
      <c r="BC101" t="inlineStr">
        <is>
          <t>30001000157141</t>
        </is>
      </c>
      <c r="BD101" t="inlineStr">
        <is>
          <t>893267691</t>
        </is>
      </c>
    </row>
    <row r="102">
      <c r="A102" t="inlineStr">
        <is>
          <t>No</t>
        </is>
      </c>
      <c r="B102" t="inlineStr">
        <is>
          <t>QU 34 P957 1993</t>
        </is>
      </c>
      <c r="C102" t="inlineStr">
        <is>
          <t>0                      QU 0034000P  957         1993</t>
        </is>
      </c>
      <c r="D102" t="inlineStr">
        <is>
          <t>Principles of exercise biochemistry / volume editor, J.R. Poortmans.</t>
        </is>
      </c>
      <c r="F102" t="inlineStr">
        <is>
          <t>No</t>
        </is>
      </c>
      <c r="G102" t="inlineStr">
        <is>
          <t>1</t>
        </is>
      </c>
      <c r="H102" t="inlineStr">
        <is>
          <t>No</t>
        </is>
      </c>
      <c r="I102" t="inlineStr">
        <is>
          <t>No</t>
        </is>
      </c>
      <c r="J102" t="inlineStr">
        <is>
          <t>0</t>
        </is>
      </c>
      <c r="L102" t="inlineStr">
        <is>
          <t>Basel ; New York : Karger, c1993.</t>
        </is>
      </c>
      <c r="M102" t="inlineStr">
        <is>
          <t>1993</t>
        </is>
      </c>
      <c r="N102" t="inlineStr">
        <is>
          <t>2nd rev. ed.</t>
        </is>
      </c>
      <c r="O102" t="inlineStr">
        <is>
          <t>eng</t>
        </is>
      </c>
      <c r="P102" t="inlineStr">
        <is>
          <t xml:space="preserve">sz </t>
        </is>
      </c>
      <c r="Q102" t="inlineStr">
        <is>
          <t>Medicine and sport science ; vol. 38</t>
        </is>
      </c>
      <c r="R102" t="inlineStr">
        <is>
          <t xml:space="preserve">QU </t>
        </is>
      </c>
      <c r="S102" t="n">
        <v>9</v>
      </c>
      <c r="T102" t="n">
        <v>9</v>
      </c>
      <c r="U102" t="inlineStr">
        <is>
          <t>1997-06-12</t>
        </is>
      </c>
      <c r="V102" t="inlineStr">
        <is>
          <t>1997-06-12</t>
        </is>
      </c>
      <c r="W102" t="inlineStr">
        <is>
          <t>1993-11-10</t>
        </is>
      </c>
      <c r="X102" t="inlineStr">
        <is>
          <t>1993-11-10</t>
        </is>
      </c>
      <c r="Y102" t="n">
        <v>232</v>
      </c>
      <c r="Z102" t="n">
        <v>159</v>
      </c>
      <c r="AA102" t="n">
        <v>315</v>
      </c>
      <c r="AB102" t="n">
        <v>4</v>
      </c>
      <c r="AC102" t="n">
        <v>4</v>
      </c>
      <c r="AD102" t="n">
        <v>6</v>
      </c>
      <c r="AE102" t="n">
        <v>14</v>
      </c>
      <c r="AF102" t="n">
        <v>2</v>
      </c>
      <c r="AG102" t="n">
        <v>6</v>
      </c>
      <c r="AH102" t="n">
        <v>1</v>
      </c>
      <c r="AI102" t="n">
        <v>4</v>
      </c>
      <c r="AJ102" t="n">
        <v>1</v>
      </c>
      <c r="AK102" t="n">
        <v>6</v>
      </c>
      <c r="AL102" t="n">
        <v>3</v>
      </c>
      <c r="AM102" t="n">
        <v>3</v>
      </c>
      <c r="AN102" t="n">
        <v>0</v>
      </c>
      <c r="AO102" t="n">
        <v>0</v>
      </c>
      <c r="AP102" t="inlineStr">
        <is>
          <t>No</t>
        </is>
      </c>
      <c r="AQ102" t="inlineStr">
        <is>
          <t>Yes</t>
        </is>
      </c>
      <c r="AR102">
        <f>HYPERLINK("http://catalog.hathitrust.org/Record/002753409","HathiTrust Record")</f>
        <v/>
      </c>
      <c r="AS102">
        <f>HYPERLINK("https://creighton-primo.hosted.exlibrisgroup.com/primo-explore/search?tab=default_tab&amp;search_scope=EVERYTHING&amp;vid=01CRU&amp;lang=en_US&amp;offset=0&amp;query=any,contains,991000242029702656","Catalog Record")</f>
        <v/>
      </c>
      <c r="AT102">
        <f>HYPERLINK("http://www.worldcat.org/oclc/28294845","WorldCat Record")</f>
        <v/>
      </c>
      <c r="AU102" t="inlineStr">
        <is>
          <t>4061424617:eng</t>
        </is>
      </c>
      <c r="AV102" t="inlineStr">
        <is>
          <t>28294845</t>
        </is>
      </c>
      <c r="AW102" t="inlineStr">
        <is>
          <t>991000242029702656</t>
        </is>
      </c>
      <c r="AX102" t="inlineStr">
        <is>
          <t>991000242029702656</t>
        </is>
      </c>
      <c r="AY102" t="inlineStr">
        <is>
          <t>2258524830002656</t>
        </is>
      </c>
      <c r="AZ102" t="inlineStr">
        <is>
          <t>BOOK</t>
        </is>
      </c>
      <c r="BB102" t="inlineStr">
        <is>
          <t>9783805557788</t>
        </is>
      </c>
      <c r="BC102" t="inlineStr">
        <is>
          <t>30001002601971</t>
        </is>
      </c>
      <c r="BD102" t="inlineStr">
        <is>
          <t>893737094</t>
        </is>
      </c>
    </row>
    <row r="103">
      <c r="A103" t="inlineStr">
        <is>
          <t>No</t>
        </is>
      </c>
      <c r="B103" t="inlineStr">
        <is>
          <t>QU 34 RE107KE 1984 v.1</t>
        </is>
      </c>
      <c r="C103" t="inlineStr">
        <is>
          <t>0                      QU 0034000RE 107KE       1984                                        v.1</t>
        </is>
      </c>
      <c r="D103" t="inlineStr">
        <is>
          <t>Membranes, detergents, and receptor solubilization / editors, J. Craig Venter, Len C. Harrison.</t>
        </is>
      </c>
      <c r="E103" t="inlineStr">
        <is>
          <t>V.1</t>
        </is>
      </c>
      <c r="F103" t="inlineStr">
        <is>
          <t>No</t>
        </is>
      </c>
      <c r="G103" t="inlineStr">
        <is>
          <t>1</t>
        </is>
      </c>
      <c r="H103" t="inlineStr">
        <is>
          <t>No</t>
        </is>
      </c>
      <c r="I103" t="inlineStr">
        <is>
          <t>No</t>
        </is>
      </c>
      <c r="J103" t="inlineStr">
        <is>
          <t>0</t>
        </is>
      </c>
      <c r="L103" t="inlineStr">
        <is>
          <t>New York : A.R. Liss, c1984.</t>
        </is>
      </c>
      <c r="M103" t="inlineStr">
        <is>
          <t>1984</t>
        </is>
      </c>
      <c r="O103" t="inlineStr">
        <is>
          <t>eng</t>
        </is>
      </c>
      <c r="P103" t="inlineStr">
        <is>
          <t>nyu</t>
        </is>
      </c>
      <c r="Q103" t="inlineStr">
        <is>
          <t>Receptor biochemistry and methodology ; v. 1</t>
        </is>
      </c>
      <c r="R103" t="inlineStr">
        <is>
          <t xml:space="preserve">QU </t>
        </is>
      </c>
      <c r="S103" t="n">
        <v>2</v>
      </c>
      <c r="T103" t="n">
        <v>2</v>
      </c>
      <c r="U103" t="inlineStr">
        <is>
          <t>1992-03-13</t>
        </is>
      </c>
      <c r="V103" t="inlineStr">
        <is>
          <t>1992-03-13</t>
        </is>
      </c>
      <c r="W103" t="inlineStr">
        <is>
          <t>1988-01-26</t>
        </is>
      </c>
      <c r="X103" t="inlineStr">
        <is>
          <t>1988-01-26</t>
        </is>
      </c>
      <c r="Y103" t="n">
        <v>312</v>
      </c>
      <c r="Z103" t="n">
        <v>232</v>
      </c>
      <c r="AA103" t="n">
        <v>239</v>
      </c>
      <c r="AB103" t="n">
        <v>2</v>
      </c>
      <c r="AC103" t="n">
        <v>2</v>
      </c>
      <c r="AD103" t="n">
        <v>5</v>
      </c>
      <c r="AE103" t="n">
        <v>5</v>
      </c>
      <c r="AF103" t="n">
        <v>0</v>
      </c>
      <c r="AG103" t="n">
        <v>0</v>
      </c>
      <c r="AH103" t="n">
        <v>3</v>
      </c>
      <c r="AI103" t="n">
        <v>3</v>
      </c>
      <c r="AJ103" t="n">
        <v>3</v>
      </c>
      <c r="AK103" t="n">
        <v>3</v>
      </c>
      <c r="AL103" t="n">
        <v>1</v>
      </c>
      <c r="AM103" t="n">
        <v>1</v>
      </c>
      <c r="AN103" t="n">
        <v>0</v>
      </c>
      <c r="AO103" t="n">
        <v>0</v>
      </c>
      <c r="AP103" t="inlineStr">
        <is>
          <t>No</t>
        </is>
      </c>
      <c r="AQ103" t="inlineStr">
        <is>
          <t>Yes</t>
        </is>
      </c>
      <c r="AR103">
        <f>HYPERLINK("http://catalog.hathitrust.org/Record/000605080","HathiTrust Record")</f>
        <v/>
      </c>
      <c r="AS103">
        <f>HYPERLINK("https://creighton-primo.hosted.exlibrisgroup.com/primo-explore/search?tab=default_tab&amp;search_scope=EVERYTHING&amp;vid=01CRU&amp;lang=en_US&amp;offset=0&amp;query=any,contains,991000896069702656","Catalog Record")</f>
        <v/>
      </c>
      <c r="AT103">
        <f>HYPERLINK("http://www.worldcat.org/oclc/9830354","WorldCat Record")</f>
        <v/>
      </c>
      <c r="AU103" t="inlineStr">
        <is>
          <t>355793962:eng</t>
        </is>
      </c>
      <c r="AV103" t="inlineStr">
        <is>
          <t>9830354</t>
        </is>
      </c>
      <c r="AW103" t="inlineStr">
        <is>
          <t>991000896069702656</t>
        </is>
      </c>
      <c r="AX103" t="inlineStr">
        <is>
          <t>991000896069702656</t>
        </is>
      </c>
      <c r="AY103" t="inlineStr">
        <is>
          <t>2256519250002656</t>
        </is>
      </c>
      <c r="AZ103" t="inlineStr">
        <is>
          <t>BOOK</t>
        </is>
      </c>
      <c r="BB103" t="inlineStr">
        <is>
          <t>9780845137000</t>
        </is>
      </c>
      <c r="BC103" t="inlineStr">
        <is>
          <t>30001000157125</t>
        </is>
      </c>
      <c r="BD103" t="inlineStr">
        <is>
          <t>893267689</t>
        </is>
      </c>
    </row>
    <row r="104">
      <c r="A104" t="inlineStr">
        <is>
          <t>No</t>
        </is>
      </c>
      <c r="B104" t="inlineStr">
        <is>
          <t>QU 34 RE107KE 1984 v.2</t>
        </is>
      </c>
      <c r="C104" t="inlineStr">
        <is>
          <t>0                      QU 0034000RE 107KE       1984                                        v.2</t>
        </is>
      </c>
      <c r="D104" t="inlineStr">
        <is>
          <t>Receptor purification procedures / editors, J. Craig Venter, Len C. Harrison.</t>
        </is>
      </c>
      <c r="E104" t="inlineStr">
        <is>
          <t>V.2</t>
        </is>
      </c>
      <c r="F104" t="inlineStr">
        <is>
          <t>No</t>
        </is>
      </c>
      <c r="G104" t="inlineStr">
        <is>
          <t>1</t>
        </is>
      </c>
      <c r="H104" t="inlineStr">
        <is>
          <t>No</t>
        </is>
      </c>
      <c r="I104" t="inlineStr">
        <is>
          <t>No</t>
        </is>
      </c>
      <c r="J104" t="inlineStr">
        <is>
          <t>0</t>
        </is>
      </c>
      <c r="L104" t="inlineStr">
        <is>
          <t>New York : A.R. Liss, c1984.</t>
        </is>
      </c>
      <c r="M104" t="inlineStr">
        <is>
          <t>1984</t>
        </is>
      </c>
      <c r="O104" t="inlineStr">
        <is>
          <t>eng</t>
        </is>
      </c>
      <c r="P104" t="inlineStr">
        <is>
          <t>nyu</t>
        </is>
      </c>
      <c r="Q104" t="inlineStr">
        <is>
          <t>Receptor biochemistry and methodology ; v. 2</t>
        </is>
      </c>
      <c r="R104" t="inlineStr">
        <is>
          <t xml:space="preserve">QU </t>
        </is>
      </c>
      <c r="S104" t="n">
        <v>3</v>
      </c>
      <c r="T104" t="n">
        <v>3</v>
      </c>
      <c r="U104" t="inlineStr">
        <is>
          <t>1992-12-04</t>
        </is>
      </c>
      <c r="V104" t="inlineStr">
        <is>
          <t>1992-12-04</t>
        </is>
      </c>
      <c r="W104" t="inlineStr">
        <is>
          <t>1988-01-26</t>
        </is>
      </c>
      <c r="X104" t="inlineStr">
        <is>
          <t>1988-01-26</t>
        </is>
      </c>
      <c r="Y104" t="n">
        <v>285</v>
      </c>
      <c r="Z104" t="n">
        <v>215</v>
      </c>
      <c r="AA104" t="n">
        <v>217</v>
      </c>
      <c r="AB104" t="n">
        <v>2</v>
      </c>
      <c r="AC104" t="n">
        <v>2</v>
      </c>
      <c r="AD104" t="n">
        <v>6</v>
      </c>
      <c r="AE104" t="n">
        <v>6</v>
      </c>
      <c r="AF104" t="n">
        <v>0</v>
      </c>
      <c r="AG104" t="n">
        <v>0</v>
      </c>
      <c r="AH104" t="n">
        <v>3</v>
      </c>
      <c r="AI104" t="n">
        <v>3</v>
      </c>
      <c r="AJ104" t="n">
        <v>4</v>
      </c>
      <c r="AK104" t="n">
        <v>4</v>
      </c>
      <c r="AL104" t="n">
        <v>1</v>
      </c>
      <c r="AM104" t="n">
        <v>1</v>
      </c>
      <c r="AN104" t="n">
        <v>0</v>
      </c>
      <c r="AO104" t="n">
        <v>0</v>
      </c>
      <c r="AP104" t="inlineStr">
        <is>
          <t>No</t>
        </is>
      </c>
      <c r="AQ104" t="inlineStr">
        <is>
          <t>Yes</t>
        </is>
      </c>
      <c r="AR104">
        <f>HYPERLINK("http://catalog.hathitrust.org/Record/000603319","HathiTrust Record")</f>
        <v/>
      </c>
      <c r="AS104">
        <f>HYPERLINK("https://creighton-primo.hosted.exlibrisgroup.com/primo-explore/search?tab=default_tab&amp;search_scope=EVERYTHING&amp;vid=01CRU&amp;lang=en_US&amp;offset=0&amp;query=any,contains,991001211639702656","Catalog Record")</f>
        <v/>
      </c>
      <c r="AT104">
        <f>HYPERLINK("http://www.worldcat.org/oclc/9828960","WorldCat Record")</f>
        <v/>
      </c>
      <c r="AU104" t="inlineStr">
        <is>
          <t>355917133:eng</t>
        </is>
      </c>
      <c r="AV104" t="inlineStr">
        <is>
          <t>9828960</t>
        </is>
      </c>
      <c r="AW104" t="inlineStr">
        <is>
          <t>991001211639702656</t>
        </is>
      </c>
      <c r="AX104" t="inlineStr">
        <is>
          <t>991001211639702656</t>
        </is>
      </c>
      <c r="AY104" t="inlineStr">
        <is>
          <t>22101749360002656</t>
        </is>
      </c>
      <c r="AZ104" t="inlineStr">
        <is>
          <t>BOOK</t>
        </is>
      </c>
      <c r="BB104" t="inlineStr">
        <is>
          <t>9780845137017</t>
        </is>
      </c>
      <c r="BC104" t="inlineStr">
        <is>
          <t>30001000990020</t>
        </is>
      </c>
      <c r="BD104" t="inlineStr">
        <is>
          <t>893648982</t>
        </is>
      </c>
    </row>
    <row r="105">
      <c r="A105" t="inlineStr">
        <is>
          <t>No</t>
        </is>
      </c>
      <c r="B105" t="inlineStr">
        <is>
          <t>QU 34 RE107KE 1984 v.3</t>
        </is>
      </c>
      <c r="C105" t="inlineStr">
        <is>
          <t>0                      QU 0034000RE 107KE       1984                                        v.3</t>
        </is>
      </c>
      <c r="D105" t="inlineStr">
        <is>
          <t>Molecular and chemical characterization of membrane receptors / editors, J. Craig Venter, Len Harrison.</t>
        </is>
      </c>
      <c r="E105" t="inlineStr">
        <is>
          <t>V.3</t>
        </is>
      </c>
      <c r="F105" t="inlineStr">
        <is>
          <t>No</t>
        </is>
      </c>
      <c r="G105" t="inlineStr">
        <is>
          <t>1</t>
        </is>
      </c>
      <c r="H105" t="inlineStr">
        <is>
          <t>No</t>
        </is>
      </c>
      <c r="I105" t="inlineStr">
        <is>
          <t>No</t>
        </is>
      </c>
      <c r="J105" t="inlineStr">
        <is>
          <t>0</t>
        </is>
      </c>
      <c r="L105" t="inlineStr">
        <is>
          <t>New York : A.R. Liss, c1984.</t>
        </is>
      </c>
      <c r="M105" t="inlineStr">
        <is>
          <t>1984</t>
        </is>
      </c>
      <c r="O105" t="inlineStr">
        <is>
          <t>eng</t>
        </is>
      </c>
      <c r="P105" t="inlineStr">
        <is>
          <t>nyu</t>
        </is>
      </c>
      <c r="Q105" t="inlineStr">
        <is>
          <t>Receptor biochemistry and methodology ; v. 3</t>
        </is>
      </c>
      <c r="R105" t="inlineStr">
        <is>
          <t xml:space="preserve">QU </t>
        </is>
      </c>
      <c r="S105" t="n">
        <v>3</v>
      </c>
      <c r="T105" t="n">
        <v>3</v>
      </c>
      <c r="U105" t="inlineStr">
        <is>
          <t>1995-06-15</t>
        </is>
      </c>
      <c r="V105" t="inlineStr">
        <is>
          <t>1995-06-15</t>
        </is>
      </c>
      <c r="W105" t="inlineStr">
        <is>
          <t>1988-01-26</t>
        </is>
      </c>
      <c r="X105" t="inlineStr">
        <is>
          <t>1988-01-26</t>
        </is>
      </c>
      <c r="Y105" t="n">
        <v>298</v>
      </c>
      <c r="Z105" t="n">
        <v>227</v>
      </c>
      <c r="AA105" t="n">
        <v>234</v>
      </c>
      <c r="AB105" t="n">
        <v>2</v>
      </c>
      <c r="AC105" t="n">
        <v>2</v>
      </c>
      <c r="AD105" t="n">
        <v>6</v>
      </c>
      <c r="AE105" t="n">
        <v>6</v>
      </c>
      <c r="AF105" t="n">
        <v>1</v>
      </c>
      <c r="AG105" t="n">
        <v>1</v>
      </c>
      <c r="AH105" t="n">
        <v>3</v>
      </c>
      <c r="AI105" t="n">
        <v>3</v>
      </c>
      <c r="AJ105" t="n">
        <v>4</v>
      </c>
      <c r="AK105" t="n">
        <v>4</v>
      </c>
      <c r="AL105" t="n">
        <v>1</v>
      </c>
      <c r="AM105" t="n">
        <v>1</v>
      </c>
      <c r="AN105" t="n">
        <v>0</v>
      </c>
      <c r="AO105" t="n">
        <v>0</v>
      </c>
      <c r="AP105" t="inlineStr">
        <is>
          <t>No</t>
        </is>
      </c>
      <c r="AQ105" t="inlineStr">
        <is>
          <t>Yes</t>
        </is>
      </c>
      <c r="AR105">
        <f>HYPERLINK("http://catalog.hathitrust.org/Record/000603329","HathiTrust Record")</f>
        <v/>
      </c>
      <c r="AS105">
        <f>HYPERLINK("https://creighton-primo.hosted.exlibrisgroup.com/primo-explore/search?tab=default_tab&amp;search_scope=EVERYTHING&amp;vid=01CRU&amp;lang=en_US&amp;offset=0&amp;query=any,contains,991000896019702656","Catalog Record")</f>
        <v/>
      </c>
      <c r="AT105">
        <f>HYPERLINK("http://www.worldcat.org/oclc/9830276","WorldCat Record")</f>
        <v/>
      </c>
      <c r="AU105" t="inlineStr">
        <is>
          <t>355793971:eng</t>
        </is>
      </c>
      <c r="AV105" t="inlineStr">
        <is>
          <t>9830276</t>
        </is>
      </c>
      <c r="AW105" t="inlineStr">
        <is>
          <t>991000896019702656</t>
        </is>
      </c>
      <c r="AX105" t="inlineStr">
        <is>
          <t>991000896019702656</t>
        </is>
      </c>
      <c r="AY105" t="inlineStr">
        <is>
          <t>2256470780002656</t>
        </is>
      </c>
      <c r="AZ105" t="inlineStr">
        <is>
          <t>BOOK</t>
        </is>
      </c>
      <c r="BB105" t="inlineStr">
        <is>
          <t>9780845137024</t>
        </is>
      </c>
      <c r="BC105" t="inlineStr">
        <is>
          <t>30001000157117</t>
        </is>
      </c>
      <c r="BD105" t="inlineStr">
        <is>
          <t>893133946</t>
        </is>
      </c>
    </row>
    <row r="106">
      <c r="A106" t="inlineStr">
        <is>
          <t>No</t>
        </is>
      </c>
      <c r="B106" t="inlineStr">
        <is>
          <t>QU 34 RE107KE 1987 v.6</t>
        </is>
      </c>
      <c r="C106" t="inlineStr">
        <is>
          <t>0                      QU 0034000RE 107KE       1987                                        v.6</t>
        </is>
      </c>
      <c r="D106" t="inlineStr">
        <is>
          <t>Perspectives on receptor classification / editors, J.W. Black, D.H. Jenkinson, V.P. Gerskowitch.</t>
        </is>
      </c>
      <c r="E106" t="inlineStr">
        <is>
          <t>V.6</t>
        </is>
      </c>
      <c r="F106" t="inlineStr">
        <is>
          <t>No</t>
        </is>
      </c>
      <c r="G106" t="inlineStr">
        <is>
          <t>1</t>
        </is>
      </c>
      <c r="H106" t="inlineStr">
        <is>
          <t>No</t>
        </is>
      </c>
      <c r="I106" t="inlineStr">
        <is>
          <t>No</t>
        </is>
      </c>
      <c r="J106" t="inlineStr">
        <is>
          <t>0</t>
        </is>
      </c>
      <c r="L106" t="inlineStr">
        <is>
          <t>New York : A.R. Liss, c1987.</t>
        </is>
      </c>
      <c r="M106" t="inlineStr">
        <is>
          <t>1987</t>
        </is>
      </c>
      <c r="O106" t="inlineStr">
        <is>
          <t>eng</t>
        </is>
      </c>
      <c r="P106" t="inlineStr">
        <is>
          <t>nyu</t>
        </is>
      </c>
      <c r="Q106" t="inlineStr">
        <is>
          <t>Receptor biochemistry and methodology ; v. 6</t>
        </is>
      </c>
      <c r="R106" t="inlineStr">
        <is>
          <t xml:space="preserve">QU </t>
        </is>
      </c>
      <c r="S106" t="n">
        <v>5</v>
      </c>
      <c r="T106" t="n">
        <v>5</v>
      </c>
      <c r="U106" t="inlineStr">
        <is>
          <t>1993-03-01</t>
        </is>
      </c>
      <c r="V106" t="inlineStr">
        <is>
          <t>1993-03-01</t>
        </is>
      </c>
      <c r="W106" t="inlineStr">
        <is>
          <t>1987-11-17</t>
        </is>
      </c>
      <c r="X106" t="inlineStr">
        <is>
          <t>1987-11-17</t>
        </is>
      </c>
      <c r="Y106" t="n">
        <v>206</v>
      </c>
      <c r="Z106" t="n">
        <v>156</v>
      </c>
      <c r="AA106" t="n">
        <v>158</v>
      </c>
      <c r="AB106" t="n">
        <v>1</v>
      </c>
      <c r="AC106" t="n">
        <v>1</v>
      </c>
      <c r="AD106" t="n">
        <v>5</v>
      </c>
      <c r="AE106" t="n">
        <v>5</v>
      </c>
      <c r="AF106" t="n">
        <v>0</v>
      </c>
      <c r="AG106" t="n">
        <v>0</v>
      </c>
      <c r="AH106" t="n">
        <v>3</v>
      </c>
      <c r="AI106" t="n">
        <v>3</v>
      </c>
      <c r="AJ106" t="n">
        <v>4</v>
      </c>
      <c r="AK106" t="n">
        <v>4</v>
      </c>
      <c r="AL106" t="n">
        <v>0</v>
      </c>
      <c r="AM106" t="n">
        <v>0</v>
      </c>
      <c r="AN106" t="n">
        <v>0</v>
      </c>
      <c r="AO106" t="n">
        <v>0</v>
      </c>
      <c r="AP106" t="inlineStr">
        <is>
          <t>No</t>
        </is>
      </c>
      <c r="AQ106" t="inlineStr">
        <is>
          <t>Yes</t>
        </is>
      </c>
      <c r="AR106">
        <f>HYPERLINK("http://catalog.hathitrust.org/Record/000815580","HathiTrust Record")</f>
        <v/>
      </c>
      <c r="AS106">
        <f>HYPERLINK("https://creighton-primo.hosted.exlibrisgroup.com/primo-explore/search?tab=default_tab&amp;search_scope=EVERYTHING&amp;vid=01CRU&amp;lang=en_US&amp;offset=0&amp;query=any,contains,991001202149702656","Catalog Record")</f>
        <v/>
      </c>
      <c r="AT106">
        <f>HYPERLINK("http://www.worldcat.org/oclc/13793106","WorldCat Record")</f>
        <v/>
      </c>
      <c r="AU106" t="inlineStr">
        <is>
          <t>439690373:eng</t>
        </is>
      </c>
      <c r="AV106" t="inlineStr">
        <is>
          <t>13793106</t>
        </is>
      </c>
      <c r="AW106" t="inlineStr">
        <is>
          <t>991001202149702656</t>
        </is>
      </c>
      <c r="AX106" t="inlineStr">
        <is>
          <t>991001202149702656</t>
        </is>
      </c>
      <c r="AY106" t="inlineStr">
        <is>
          <t>2272034880002656</t>
        </is>
      </c>
      <c r="AZ106" t="inlineStr">
        <is>
          <t>BOOK</t>
        </is>
      </c>
      <c r="BB106" t="inlineStr">
        <is>
          <t>9780845137055</t>
        </is>
      </c>
      <c r="BC106" t="inlineStr">
        <is>
          <t>30001000317232</t>
        </is>
      </c>
      <c r="BD106" t="inlineStr">
        <is>
          <t>893736315</t>
        </is>
      </c>
    </row>
    <row r="107">
      <c r="A107" t="inlineStr">
        <is>
          <t>No</t>
        </is>
      </c>
      <c r="B107" t="inlineStr">
        <is>
          <t>QU 34 RE107KE 1987 v.9</t>
        </is>
      </c>
      <c r="C107" t="inlineStr">
        <is>
          <t>0                      QU 0034000RE 107KE       1987                                        v.9</t>
        </is>
      </c>
      <c r="D107" t="inlineStr">
        <is>
          <t>Structure and physiology of the slow inward calcium channel / editors, J. Craig Venter, David Triggle.</t>
        </is>
      </c>
      <c r="E107" t="inlineStr">
        <is>
          <t>V.9</t>
        </is>
      </c>
      <c r="F107" t="inlineStr">
        <is>
          <t>No</t>
        </is>
      </c>
      <c r="G107" t="inlineStr">
        <is>
          <t>1</t>
        </is>
      </c>
      <c r="H107" t="inlineStr">
        <is>
          <t>No</t>
        </is>
      </c>
      <c r="I107" t="inlineStr">
        <is>
          <t>No</t>
        </is>
      </c>
      <c r="J107" t="inlineStr">
        <is>
          <t>0</t>
        </is>
      </c>
      <c r="L107" t="inlineStr">
        <is>
          <t>New York : Liss, c1987.</t>
        </is>
      </c>
      <c r="M107" t="inlineStr">
        <is>
          <t>1987</t>
        </is>
      </c>
      <c r="O107" t="inlineStr">
        <is>
          <t>eng</t>
        </is>
      </c>
      <c r="P107" t="inlineStr">
        <is>
          <t>xxu</t>
        </is>
      </c>
      <c r="Q107" t="inlineStr">
        <is>
          <t>Receptor biochemistry and methodology ; v. 9</t>
        </is>
      </c>
      <c r="R107" t="inlineStr">
        <is>
          <t xml:space="preserve">QU </t>
        </is>
      </c>
      <c r="S107" t="n">
        <v>4</v>
      </c>
      <c r="T107" t="n">
        <v>4</v>
      </c>
      <c r="U107" t="inlineStr">
        <is>
          <t>1990-04-30</t>
        </is>
      </c>
      <c r="V107" t="inlineStr">
        <is>
          <t>1990-04-30</t>
        </is>
      </c>
      <c r="W107" t="inlineStr">
        <is>
          <t>1987-10-27</t>
        </is>
      </c>
      <c r="X107" t="inlineStr">
        <is>
          <t>1987-10-27</t>
        </is>
      </c>
      <c r="Y107" t="n">
        <v>202</v>
      </c>
      <c r="Z107" t="n">
        <v>154</v>
      </c>
      <c r="AA107" t="n">
        <v>156</v>
      </c>
      <c r="AB107" t="n">
        <v>2</v>
      </c>
      <c r="AC107" t="n">
        <v>2</v>
      </c>
      <c r="AD107" t="n">
        <v>6</v>
      </c>
      <c r="AE107" t="n">
        <v>6</v>
      </c>
      <c r="AF107" t="n">
        <v>0</v>
      </c>
      <c r="AG107" t="n">
        <v>0</v>
      </c>
      <c r="AH107" t="n">
        <v>3</v>
      </c>
      <c r="AI107" t="n">
        <v>3</v>
      </c>
      <c r="AJ107" t="n">
        <v>4</v>
      </c>
      <c r="AK107" t="n">
        <v>4</v>
      </c>
      <c r="AL107" t="n">
        <v>1</v>
      </c>
      <c r="AM107" t="n">
        <v>1</v>
      </c>
      <c r="AN107" t="n">
        <v>0</v>
      </c>
      <c r="AO107" t="n">
        <v>0</v>
      </c>
      <c r="AP107" t="inlineStr">
        <is>
          <t>No</t>
        </is>
      </c>
      <c r="AQ107" t="inlineStr">
        <is>
          <t>Yes</t>
        </is>
      </c>
      <c r="AR107">
        <f>HYPERLINK("http://catalog.hathitrust.org/Record/000838359","HathiTrust Record")</f>
        <v/>
      </c>
      <c r="AS107">
        <f>HYPERLINK("https://creighton-primo.hosted.exlibrisgroup.com/primo-explore/search?tab=default_tab&amp;search_scope=EVERYTHING&amp;vid=01CRU&amp;lang=en_US&amp;offset=0&amp;query=any,contains,991001529849702656","Catalog Record")</f>
        <v/>
      </c>
      <c r="AT107">
        <f>HYPERLINK("http://www.worldcat.org/oclc/15415033","WorldCat Record")</f>
        <v/>
      </c>
      <c r="AU107" t="inlineStr">
        <is>
          <t>353781346:eng</t>
        </is>
      </c>
      <c r="AV107" t="inlineStr">
        <is>
          <t>15415033</t>
        </is>
      </c>
      <c r="AW107" t="inlineStr">
        <is>
          <t>991001529849702656</t>
        </is>
      </c>
      <c r="AX107" t="inlineStr">
        <is>
          <t>991001529849702656</t>
        </is>
      </c>
      <c r="AY107" t="inlineStr">
        <is>
          <t>2265136380002656</t>
        </is>
      </c>
      <c r="AZ107" t="inlineStr">
        <is>
          <t>BOOK</t>
        </is>
      </c>
      <c r="BB107" t="inlineStr">
        <is>
          <t>9780845137086</t>
        </is>
      </c>
      <c r="BC107" t="inlineStr">
        <is>
          <t>30001000621161</t>
        </is>
      </c>
      <c r="BD107" t="inlineStr">
        <is>
          <t>893268581</t>
        </is>
      </c>
    </row>
    <row r="108">
      <c r="A108" t="inlineStr">
        <is>
          <t>No</t>
        </is>
      </c>
      <c r="B108" t="inlineStr">
        <is>
          <t>QU 34 RE107KE 1992</t>
        </is>
      </c>
      <c r="C108" t="inlineStr">
        <is>
          <t>0                      QU 0034000RE 107KE       1992</t>
        </is>
      </c>
      <c r="D108" t="inlineStr">
        <is>
          <t>The Histamine receptor / editor, Jean-Charles Schwartz, Helmut L. Haas.</t>
        </is>
      </c>
      <c r="F108" t="inlineStr">
        <is>
          <t>No</t>
        </is>
      </c>
      <c r="G108" t="inlineStr">
        <is>
          <t>1</t>
        </is>
      </c>
      <c r="H108" t="inlineStr">
        <is>
          <t>No</t>
        </is>
      </c>
      <c r="I108" t="inlineStr">
        <is>
          <t>No</t>
        </is>
      </c>
      <c r="J108" t="inlineStr">
        <is>
          <t>0</t>
        </is>
      </c>
      <c r="L108" t="inlineStr">
        <is>
          <t>New York, N.Y. : Wiley-Liss, c1991.</t>
        </is>
      </c>
      <c r="M108" t="inlineStr">
        <is>
          <t>1992</t>
        </is>
      </c>
      <c r="O108" t="inlineStr">
        <is>
          <t>eng</t>
        </is>
      </c>
      <c r="P108" t="inlineStr">
        <is>
          <t>nyu</t>
        </is>
      </c>
      <c r="Q108" t="inlineStr">
        <is>
          <t>Receptor biochemistry and methodology ; v. 16</t>
        </is>
      </c>
      <c r="R108" t="inlineStr">
        <is>
          <t xml:space="preserve">QU </t>
        </is>
      </c>
      <c r="S108" t="n">
        <v>10</v>
      </c>
      <c r="T108" t="n">
        <v>10</v>
      </c>
      <c r="U108" t="inlineStr">
        <is>
          <t>2003-02-15</t>
        </is>
      </c>
      <c r="V108" t="inlineStr">
        <is>
          <t>2003-02-15</t>
        </is>
      </c>
      <c r="W108" t="inlineStr">
        <is>
          <t>1992-04-08</t>
        </is>
      </c>
      <c r="X108" t="inlineStr">
        <is>
          <t>1992-04-08</t>
        </is>
      </c>
      <c r="Y108" t="n">
        <v>133</v>
      </c>
      <c r="Z108" t="n">
        <v>103</v>
      </c>
      <c r="AA108" t="n">
        <v>112</v>
      </c>
      <c r="AB108" t="n">
        <v>2</v>
      </c>
      <c r="AC108" t="n">
        <v>2</v>
      </c>
      <c r="AD108" t="n">
        <v>6</v>
      </c>
      <c r="AE108" t="n">
        <v>6</v>
      </c>
      <c r="AF108" t="n">
        <v>0</v>
      </c>
      <c r="AG108" t="n">
        <v>0</v>
      </c>
      <c r="AH108" t="n">
        <v>4</v>
      </c>
      <c r="AI108" t="n">
        <v>4</v>
      </c>
      <c r="AJ108" t="n">
        <v>3</v>
      </c>
      <c r="AK108" t="n">
        <v>3</v>
      </c>
      <c r="AL108" t="n">
        <v>1</v>
      </c>
      <c r="AM108" t="n">
        <v>1</v>
      </c>
      <c r="AN108" t="n">
        <v>0</v>
      </c>
      <c r="AO108" t="n">
        <v>0</v>
      </c>
      <c r="AP108" t="inlineStr">
        <is>
          <t>No</t>
        </is>
      </c>
      <c r="AQ108" t="inlineStr">
        <is>
          <t>Yes</t>
        </is>
      </c>
      <c r="AR108">
        <f>HYPERLINK("http://catalog.hathitrust.org/Record/002533847","HathiTrust Record")</f>
        <v/>
      </c>
      <c r="AS108">
        <f>HYPERLINK("https://creighton-primo.hosted.exlibrisgroup.com/primo-explore/search?tab=default_tab&amp;search_scope=EVERYTHING&amp;vid=01CRU&amp;lang=en_US&amp;offset=0&amp;query=any,contains,991001301509702656","Catalog Record")</f>
        <v/>
      </c>
      <c r="AT108">
        <f>HYPERLINK("http://www.worldcat.org/oclc/24246509","WorldCat Record")</f>
        <v/>
      </c>
      <c r="AU108" t="inlineStr">
        <is>
          <t>352039206:eng</t>
        </is>
      </c>
      <c r="AV108" t="inlineStr">
        <is>
          <t>24246509</t>
        </is>
      </c>
      <c r="AW108" t="inlineStr">
        <is>
          <t>991001301509702656</t>
        </is>
      </c>
      <c r="AX108" t="inlineStr">
        <is>
          <t>991001301509702656</t>
        </is>
      </c>
      <c r="AY108" t="inlineStr">
        <is>
          <t>2263998650002656</t>
        </is>
      </c>
      <c r="AZ108" t="inlineStr">
        <is>
          <t>BOOK</t>
        </is>
      </c>
      <c r="BB108" t="inlineStr">
        <is>
          <t>9780471561262</t>
        </is>
      </c>
      <c r="BC108" t="inlineStr">
        <is>
          <t>30001002411991</t>
        </is>
      </c>
      <c r="BD108" t="inlineStr">
        <is>
          <t>893651953</t>
        </is>
      </c>
    </row>
    <row r="109">
      <c r="A109" t="inlineStr">
        <is>
          <t>No</t>
        </is>
      </c>
      <c r="B109" t="inlineStr">
        <is>
          <t>QU 34 S644b 1991</t>
        </is>
      </c>
      <c r="C109" t="inlineStr">
        <is>
          <t>0                      QU 0034000S  644b        1991</t>
        </is>
      </c>
      <c r="D109" t="inlineStr">
        <is>
          <t>Biological molecules / C.A. Smith and E. Wood.</t>
        </is>
      </c>
      <c r="F109" t="inlineStr">
        <is>
          <t>No</t>
        </is>
      </c>
      <c r="G109" t="inlineStr">
        <is>
          <t>1</t>
        </is>
      </c>
      <c r="H109" t="inlineStr">
        <is>
          <t>No</t>
        </is>
      </c>
      <c r="I109" t="inlineStr">
        <is>
          <t>No</t>
        </is>
      </c>
      <c r="J109" t="inlineStr">
        <is>
          <t>0</t>
        </is>
      </c>
      <c r="K109" t="inlineStr">
        <is>
          <t>Smith, C. A. (Chris A.)</t>
        </is>
      </c>
      <c r="L109" t="inlineStr">
        <is>
          <t>London : Chapman &amp; Hall, c1991.</t>
        </is>
      </c>
      <c r="M109" t="inlineStr">
        <is>
          <t>1991</t>
        </is>
      </c>
      <c r="O109" t="inlineStr">
        <is>
          <t>eng</t>
        </is>
      </c>
      <c r="P109" t="inlineStr">
        <is>
          <t>enk</t>
        </is>
      </c>
      <c r="Q109" t="inlineStr">
        <is>
          <t>Molecular and cell biochemistry</t>
        </is>
      </c>
      <c r="R109" t="inlineStr">
        <is>
          <t xml:space="preserve">QU </t>
        </is>
      </c>
      <c r="S109" t="n">
        <v>9</v>
      </c>
      <c r="T109" t="n">
        <v>9</v>
      </c>
      <c r="U109" t="inlineStr">
        <is>
          <t>1997-05-01</t>
        </is>
      </c>
      <c r="V109" t="inlineStr">
        <is>
          <t>1997-05-01</t>
        </is>
      </c>
      <c r="W109" t="inlineStr">
        <is>
          <t>1995-01-31</t>
        </is>
      </c>
      <c r="X109" t="inlineStr">
        <is>
          <t>1995-01-31</t>
        </is>
      </c>
      <c r="Y109" t="n">
        <v>249</v>
      </c>
      <c r="Z109" t="n">
        <v>111</v>
      </c>
      <c r="AA109" t="n">
        <v>115</v>
      </c>
      <c r="AB109" t="n">
        <v>2</v>
      </c>
      <c r="AC109" t="n">
        <v>2</v>
      </c>
      <c r="AD109" t="n">
        <v>6</v>
      </c>
      <c r="AE109" t="n">
        <v>6</v>
      </c>
      <c r="AF109" t="n">
        <v>3</v>
      </c>
      <c r="AG109" t="n">
        <v>3</v>
      </c>
      <c r="AH109" t="n">
        <v>3</v>
      </c>
      <c r="AI109" t="n">
        <v>3</v>
      </c>
      <c r="AJ109" t="n">
        <v>2</v>
      </c>
      <c r="AK109" t="n">
        <v>2</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HYPERLINK("https://creighton-primo.hosted.exlibrisgroup.com/primo-explore/search?tab=default_tab&amp;search_scope=EVERYTHING&amp;vid=01CRU&amp;lang=en_US&amp;offset=0&amp;query=any,contains,991000686029702656","Catalog Record")</f>
        <v/>
      </c>
      <c r="AT109">
        <f>HYPERLINK("http://www.worldcat.org/oclc/23286854","WorldCat Record")</f>
        <v/>
      </c>
      <c r="AU109" t="inlineStr">
        <is>
          <t>151502201:eng</t>
        </is>
      </c>
      <c r="AV109" t="inlineStr">
        <is>
          <t>23286854</t>
        </is>
      </c>
      <c r="AW109" t="inlineStr">
        <is>
          <t>991000686029702656</t>
        </is>
      </c>
      <c r="AX109" t="inlineStr">
        <is>
          <t>991000686029702656</t>
        </is>
      </c>
      <c r="AY109" t="inlineStr">
        <is>
          <t>2272159360002656</t>
        </is>
      </c>
      <c r="AZ109" t="inlineStr">
        <is>
          <t>BOOK</t>
        </is>
      </c>
      <c r="BB109" t="inlineStr">
        <is>
          <t>9780412407802</t>
        </is>
      </c>
      <c r="BC109" t="inlineStr">
        <is>
          <t>30001002699033</t>
        </is>
      </c>
      <c r="BD109" t="inlineStr">
        <is>
          <t>893450086</t>
        </is>
      </c>
    </row>
    <row r="110">
      <c r="A110" t="inlineStr">
        <is>
          <t>No</t>
        </is>
      </c>
      <c r="B110" t="inlineStr">
        <is>
          <t>QU 34 S733p 1980</t>
        </is>
      </c>
      <c r="C110" t="inlineStr">
        <is>
          <t>0                      QU 0034000S  733p        1980</t>
        </is>
      </c>
      <c r="D110" t="inlineStr">
        <is>
          <t>The physical behaviour of macromolecules with biological functions / by S. P. Spragg.</t>
        </is>
      </c>
      <c r="F110" t="inlineStr">
        <is>
          <t>No</t>
        </is>
      </c>
      <c r="G110" t="inlineStr">
        <is>
          <t>1</t>
        </is>
      </c>
      <c r="H110" t="inlineStr">
        <is>
          <t>No</t>
        </is>
      </c>
      <c r="I110" t="inlineStr">
        <is>
          <t>No</t>
        </is>
      </c>
      <c r="J110" t="inlineStr">
        <is>
          <t>0</t>
        </is>
      </c>
      <c r="K110" t="inlineStr">
        <is>
          <t>Spragg, S. P.</t>
        </is>
      </c>
      <c r="L110" t="inlineStr">
        <is>
          <t>Chichester [Eng.] ; New York : J. Wiley, c1980.</t>
        </is>
      </c>
      <c r="M110" t="inlineStr">
        <is>
          <t>1980</t>
        </is>
      </c>
      <c r="O110" t="inlineStr">
        <is>
          <t>eng</t>
        </is>
      </c>
      <c r="P110" t="inlineStr">
        <is>
          <t>enk</t>
        </is>
      </c>
      <c r="Q110" t="inlineStr">
        <is>
          <t>Monographs in biophysics and biochemistry</t>
        </is>
      </c>
      <c r="R110" t="inlineStr">
        <is>
          <t xml:space="preserve">QU </t>
        </is>
      </c>
      <c r="S110" t="n">
        <v>5</v>
      </c>
      <c r="T110" t="n">
        <v>5</v>
      </c>
      <c r="U110" t="inlineStr">
        <is>
          <t>1993-10-24</t>
        </is>
      </c>
      <c r="V110" t="inlineStr">
        <is>
          <t>1993-10-24</t>
        </is>
      </c>
      <c r="W110" t="inlineStr">
        <is>
          <t>1988-01-26</t>
        </is>
      </c>
      <c r="X110" t="inlineStr">
        <is>
          <t>1988-01-26</t>
        </is>
      </c>
      <c r="Y110" t="n">
        <v>213</v>
      </c>
      <c r="Z110" t="n">
        <v>142</v>
      </c>
      <c r="AA110" t="n">
        <v>144</v>
      </c>
      <c r="AB110" t="n">
        <v>2</v>
      </c>
      <c r="AC110" t="n">
        <v>2</v>
      </c>
      <c r="AD110" t="n">
        <v>3</v>
      </c>
      <c r="AE110" t="n">
        <v>3</v>
      </c>
      <c r="AF110" t="n">
        <v>0</v>
      </c>
      <c r="AG110" t="n">
        <v>0</v>
      </c>
      <c r="AH110" t="n">
        <v>2</v>
      </c>
      <c r="AI110" t="n">
        <v>2</v>
      </c>
      <c r="AJ110" t="n">
        <v>1</v>
      </c>
      <c r="AK110" t="n">
        <v>1</v>
      </c>
      <c r="AL110" t="n">
        <v>1</v>
      </c>
      <c r="AM110" t="n">
        <v>1</v>
      </c>
      <c r="AN110" t="n">
        <v>0</v>
      </c>
      <c r="AO110" t="n">
        <v>0</v>
      </c>
      <c r="AP110" t="inlineStr">
        <is>
          <t>No</t>
        </is>
      </c>
      <c r="AQ110" t="inlineStr">
        <is>
          <t>Yes</t>
        </is>
      </c>
      <c r="AR110">
        <f>HYPERLINK("http://catalog.hathitrust.org/Record/000262395","HathiTrust Record")</f>
        <v/>
      </c>
      <c r="AS110">
        <f>HYPERLINK("https://creighton-primo.hosted.exlibrisgroup.com/primo-explore/search?tab=default_tab&amp;search_scope=EVERYTHING&amp;vid=01CRU&amp;lang=en_US&amp;offset=0&amp;query=any,contains,991000895959702656","Catalog Record")</f>
        <v/>
      </c>
      <c r="AT110">
        <f>HYPERLINK("http://www.worldcat.org/oclc/6447761","WorldCat Record")</f>
        <v/>
      </c>
      <c r="AU110" t="inlineStr">
        <is>
          <t>19888621:eng</t>
        </is>
      </c>
      <c r="AV110" t="inlineStr">
        <is>
          <t>6447761</t>
        </is>
      </c>
      <c r="AW110" t="inlineStr">
        <is>
          <t>991000895959702656</t>
        </is>
      </c>
      <c r="AX110" t="inlineStr">
        <is>
          <t>991000895959702656</t>
        </is>
      </c>
      <c r="AY110" t="inlineStr">
        <is>
          <t>2256973250002656</t>
        </is>
      </c>
      <c r="AZ110" t="inlineStr">
        <is>
          <t>BOOK</t>
        </is>
      </c>
      <c r="BB110" t="inlineStr">
        <is>
          <t>9780471277842</t>
        </is>
      </c>
      <c r="BC110" t="inlineStr">
        <is>
          <t>30001000157083</t>
        </is>
      </c>
      <c r="BD110" t="inlineStr">
        <is>
          <t>893450593</t>
        </is>
      </c>
    </row>
    <row r="111">
      <c r="A111" t="inlineStr">
        <is>
          <t>No</t>
        </is>
      </c>
      <c r="B111" t="inlineStr">
        <is>
          <t>QU 39 C911 1988</t>
        </is>
      </c>
      <c r="C111" t="inlineStr">
        <is>
          <t>0                      QU 0039000C  911         1988</t>
        </is>
      </c>
      <c r="D111" t="inlineStr">
        <is>
          <t>CRC handbook of immunoblotting of proteins / editors, Ole J. Bjerrum, Niels H.H. Heegaard.</t>
        </is>
      </c>
      <c r="E111" t="inlineStr">
        <is>
          <t>V. 2</t>
        </is>
      </c>
      <c r="F111" t="inlineStr">
        <is>
          <t>Yes</t>
        </is>
      </c>
      <c r="G111" t="inlineStr">
        <is>
          <t>1</t>
        </is>
      </c>
      <c r="H111" t="inlineStr">
        <is>
          <t>No</t>
        </is>
      </c>
      <c r="I111" t="inlineStr">
        <is>
          <t>No</t>
        </is>
      </c>
      <c r="J111" t="inlineStr">
        <is>
          <t>0</t>
        </is>
      </c>
      <c r="L111" t="inlineStr">
        <is>
          <t>Boca Raton, FL : CRC Press, c1988.</t>
        </is>
      </c>
      <c r="M111" t="inlineStr">
        <is>
          <t>1988</t>
        </is>
      </c>
      <c r="O111" t="inlineStr">
        <is>
          <t>eng</t>
        </is>
      </c>
      <c r="P111" t="inlineStr">
        <is>
          <t>xxu</t>
        </is>
      </c>
      <c r="R111" t="inlineStr">
        <is>
          <t xml:space="preserve">QU </t>
        </is>
      </c>
      <c r="S111" t="n">
        <v>7</v>
      </c>
      <c r="T111" t="n">
        <v>21</v>
      </c>
      <c r="U111" t="inlineStr">
        <is>
          <t>1998-10-15</t>
        </is>
      </c>
      <c r="V111" t="inlineStr">
        <is>
          <t>2001-08-09</t>
        </is>
      </c>
      <c r="W111" t="inlineStr">
        <is>
          <t>1988-12-14</t>
        </is>
      </c>
      <c r="X111" t="inlineStr">
        <is>
          <t>1988-12-14</t>
        </is>
      </c>
      <c r="Y111" t="n">
        <v>266</v>
      </c>
      <c r="Z111" t="n">
        <v>196</v>
      </c>
      <c r="AA111" t="n">
        <v>197</v>
      </c>
      <c r="AB111" t="n">
        <v>2</v>
      </c>
      <c r="AC111" t="n">
        <v>2</v>
      </c>
      <c r="AD111" t="n">
        <v>2</v>
      </c>
      <c r="AE111" t="n">
        <v>2</v>
      </c>
      <c r="AF111" t="n">
        <v>0</v>
      </c>
      <c r="AG111" t="n">
        <v>0</v>
      </c>
      <c r="AH111" t="n">
        <v>1</v>
      </c>
      <c r="AI111" t="n">
        <v>1</v>
      </c>
      <c r="AJ111" t="n">
        <v>1</v>
      </c>
      <c r="AK111" t="n">
        <v>1</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HYPERLINK("https://creighton-primo.hosted.exlibrisgroup.com/primo-explore/search?tab=default_tab&amp;search_scope=EVERYTHING&amp;vid=01CRU&amp;lang=en_US&amp;offset=0&amp;query=any,contains,991001105549702656","Catalog Record")</f>
        <v/>
      </c>
      <c r="AT111">
        <f>HYPERLINK("http://www.worldcat.org/oclc/16581743","WorldCat Record")</f>
        <v/>
      </c>
      <c r="AU111" t="inlineStr">
        <is>
          <t>5453654220:eng</t>
        </is>
      </c>
      <c r="AV111" t="inlineStr">
        <is>
          <t>16581743</t>
        </is>
      </c>
      <c r="AW111" t="inlineStr">
        <is>
          <t>991001105549702656</t>
        </is>
      </c>
      <c r="AX111" t="inlineStr">
        <is>
          <t>991001105549702656</t>
        </is>
      </c>
      <c r="AY111" t="inlineStr">
        <is>
          <t>2267323720002656</t>
        </is>
      </c>
      <c r="AZ111" t="inlineStr">
        <is>
          <t>BOOK</t>
        </is>
      </c>
      <c r="BB111" t="inlineStr">
        <is>
          <t>9780849305481</t>
        </is>
      </c>
      <c r="BC111" t="inlineStr">
        <is>
          <t>30001001610866</t>
        </is>
      </c>
      <c r="BD111" t="inlineStr">
        <is>
          <t>893820910</t>
        </is>
      </c>
    </row>
    <row r="112">
      <c r="A112" t="inlineStr">
        <is>
          <t>No</t>
        </is>
      </c>
      <c r="B112" t="inlineStr">
        <is>
          <t>QU 39 C911 1988</t>
        </is>
      </c>
      <c r="C112" t="inlineStr">
        <is>
          <t>0                      QU 0039000C  911         1988</t>
        </is>
      </c>
      <c r="D112" t="inlineStr">
        <is>
          <t>CRC handbook of immunoblotting of proteins / editors, Ole J. Bjerrum, Niels H.H. Heegaard.</t>
        </is>
      </c>
      <c r="E112" t="inlineStr">
        <is>
          <t>V. 1</t>
        </is>
      </c>
      <c r="F112" t="inlineStr">
        <is>
          <t>Yes</t>
        </is>
      </c>
      <c r="G112" t="inlineStr">
        <is>
          <t>1</t>
        </is>
      </c>
      <c r="H112" t="inlineStr">
        <is>
          <t>No</t>
        </is>
      </c>
      <c r="I112" t="inlineStr">
        <is>
          <t>No</t>
        </is>
      </c>
      <c r="J112" t="inlineStr">
        <is>
          <t>0</t>
        </is>
      </c>
      <c r="L112" t="inlineStr">
        <is>
          <t>Boca Raton, FL : CRC Press, c1988.</t>
        </is>
      </c>
      <c r="M112" t="inlineStr">
        <is>
          <t>1988</t>
        </is>
      </c>
      <c r="O112" t="inlineStr">
        <is>
          <t>eng</t>
        </is>
      </c>
      <c r="P112" t="inlineStr">
        <is>
          <t>xxu</t>
        </is>
      </c>
      <c r="R112" t="inlineStr">
        <is>
          <t xml:space="preserve">QU </t>
        </is>
      </c>
      <c r="S112" t="n">
        <v>14</v>
      </c>
      <c r="T112" t="n">
        <v>21</v>
      </c>
      <c r="U112" t="inlineStr">
        <is>
          <t>2001-08-09</t>
        </is>
      </c>
      <c r="V112" t="inlineStr">
        <is>
          <t>2001-08-09</t>
        </is>
      </c>
      <c r="W112" t="inlineStr">
        <is>
          <t>1988-12-14</t>
        </is>
      </c>
      <c r="X112" t="inlineStr">
        <is>
          <t>1988-12-14</t>
        </is>
      </c>
      <c r="Y112" t="n">
        <v>266</v>
      </c>
      <c r="Z112" t="n">
        <v>196</v>
      </c>
      <c r="AA112" t="n">
        <v>197</v>
      </c>
      <c r="AB112" t="n">
        <v>2</v>
      </c>
      <c r="AC112" t="n">
        <v>2</v>
      </c>
      <c r="AD112" t="n">
        <v>2</v>
      </c>
      <c r="AE112" t="n">
        <v>2</v>
      </c>
      <c r="AF112" t="n">
        <v>0</v>
      </c>
      <c r="AG112" t="n">
        <v>0</v>
      </c>
      <c r="AH112" t="n">
        <v>1</v>
      </c>
      <c r="AI112" t="n">
        <v>1</v>
      </c>
      <c r="AJ112" t="n">
        <v>1</v>
      </c>
      <c r="AK112" t="n">
        <v>1</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HYPERLINK("https://creighton-primo.hosted.exlibrisgroup.com/primo-explore/search?tab=default_tab&amp;search_scope=EVERYTHING&amp;vid=01CRU&amp;lang=en_US&amp;offset=0&amp;query=any,contains,991001105549702656","Catalog Record")</f>
        <v/>
      </c>
      <c r="AT112">
        <f>HYPERLINK("http://www.worldcat.org/oclc/16581743","WorldCat Record")</f>
        <v/>
      </c>
      <c r="AU112" t="inlineStr">
        <is>
          <t>5453654220:eng</t>
        </is>
      </c>
      <c r="AV112" t="inlineStr">
        <is>
          <t>16581743</t>
        </is>
      </c>
      <c r="AW112" t="inlineStr">
        <is>
          <t>991001105549702656</t>
        </is>
      </c>
      <c r="AX112" t="inlineStr">
        <is>
          <t>991001105549702656</t>
        </is>
      </c>
      <c r="AY112" t="inlineStr">
        <is>
          <t>2267323720002656</t>
        </is>
      </c>
      <c r="AZ112" t="inlineStr">
        <is>
          <t>BOOK</t>
        </is>
      </c>
      <c r="BB112" t="inlineStr">
        <is>
          <t>9780849305481</t>
        </is>
      </c>
      <c r="BC112" t="inlineStr">
        <is>
          <t>30001001610882</t>
        </is>
      </c>
      <c r="BD112" t="inlineStr">
        <is>
          <t>893831920</t>
        </is>
      </c>
    </row>
    <row r="113">
      <c r="A113" t="inlineStr">
        <is>
          <t>No</t>
        </is>
      </c>
      <c r="B113" t="inlineStr">
        <is>
          <t>QU39 H23578 2004</t>
        </is>
      </c>
      <c r="C113" t="inlineStr">
        <is>
          <t>0                      QU 0039000H  23578       2004</t>
        </is>
      </c>
      <c r="D113" t="inlineStr">
        <is>
          <t>Handbook of nutrition and immunity / edited by M. Eric Gershwin, Penelope Nestel, Carl L. Keen.</t>
        </is>
      </c>
      <c r="F113" t="inlineStr">
        <is>
          <t>No</t>
        </is>
      </c>
      <c r="G113" t="inlineStr">
        <is>
          <t>1</t>
        </is>
      </c>
      <c r="H113" t="inlineStr">
        <is>
          <t>No</t>
        </is>
      </c>
      <c r="I113" t="inlineStr">
        <is>
          <t>No</t>
        </is>
      </c>
      <c r="J113" t="inlineStr">
        <is>
          <t>0</t>
        </is>
      </c>
      <c r="L113" t="inlineStr">
        <is>
          <t>Totowa, N.J. : Humana Press, c2004.</t>
        </is>
      </c>
      <c r="M113" t="inlineStr">
        <is>
          <t>2004</t>
        </is>
      </c>
      <c r="O113" t="inlineStr">
        <is>
          <t>eng</t>
        </is>
      </c>
      <c r="P113" t="inlineStr">
        <is>
          <t>nju</t>
        </is>
      </c>
      <c r="R113" t="inlineStr">
        <is>
          <t xml:space="preserve">QU </t>
        </is>
      </c>
      <c r="S113" t="n">
        <v>0</v>
      </c>
      <c r="T113" t="n">
        <v>0</v>
      </c>
      <c r="U113" t="inlineStr">
        <is>
          <t>2005-10-28</t>
        </is>
      </c>
      <c r="V113" t="inlineStr">
        <is>
          <t>2005-10-28</t>
        </is>
      </c>
      <c r="W113" t="inlineStr">
        <is>
          <t>2005-10-28</t>
        </is>
      </c>
      <c r="X113" t="inlineStr">
        <is>
          <t>2005-10-28</t>
        </is>
      </c>
      <c r="Y113" t="n">
        <v>232</v>
      </c>
      <c r="Z113" t="n">
        <v>164</v>
      </c>
      <c r="AA113" t="n">
        <v>213</v>
      </c>
      <c r="AB113" t="n">
        <v>2</v>
      </c>
      <c r="AC113" t="n">
        <v>2</v>
      </c>
      <c r="AD113" t="n">
        <v>4</v>
      </c>
      <c r="AE113" t="n">
        <v>7</v>
      </c>
      <c r="AF113" t="n">
        <v>0</v>
      </c>
      <c r="AG113" t="n">
        <v>2</v>
      </c>
      <c r="AH113" t="n">
        <v>3</v>
      </c>
      <c r="AI113" t="n">
        <v>3</v>
      </c>
      <c r="AJ113" t="n">
        <v>1</v>
      </c>
      <c r="AK113" t="n">
        <v>4</v>
      </c>
      <c r="AL113" t="n">
        <v>1</v>
      </c>
      <c r="AM113" t="n">
        <v>1</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HYPERLINK("https://creighton-primo.hosted.exlibrisgroup.com/primo-explore/search?tab=default_tab&amp;search_scope=EVERYTHING&amp;vid=01CRU&amp;lang=en_US&amp;offset=0&amp;query=any,contains,991000446579702656","Catalog Record")</f>
        <v/>
      </c>
      <c r="AT113">
        <f>HYPERLINK("http://www.worldcat.org/oclc/53955397","WorldCat Record")</f>
        <v/>
      </c>
      <c r="AU113" t="inlineStr">
        <is>
          <t>766945185:eng</t>
        </is>
      </c>
      <c r="AV113" t="inlineStr">
        <is>
          <t>53955397</t>
        </is>
      </c>
      <c r="AW113" t="inlineStr">
        <is>
          <t>991000446579702656</t>
        </is>
      </c>
      <c r="AX113" t="inlineStr">
        <is>
          <t>991000446579702656</t>
        </is>
      </c>
      <c r="AY113" t="inlineStr">
        <is>
          <t>2272233120002656</t>
        </is>
      </c>
      <c r="AZ113" t="inlineStr">
        <is>
          <t>BOOK</t>
        </is>
      </c>
      <c r="BB113" t="inlineStr">
        <is>
          <t>9781588293084</t>
        </is>
      </c>
      <c r="BC113" t="inlineStr">
        <is>
          <t>30001004913820</t>
        </is>
      </c>
      <c r="BD113" t="inlineStr">
        <is>
          <t>893123158</t>
        </is>
      </c>
    </row>
    <row r="114">
      <c r="A114" t="inlineStr">
        <is>
          <t>No</t>
        </is>
      </c>
      <c r="B114" t="inlineStr">
        <is>
          <t>QU 39 L764 1984</t>
        </is>
      </c>
      <c r="C114" t="inlineStr">
        <is>
          <t>0                      QU 0039000L  764         1984</t>
        </is>
      </c>
      <c r="D114" t="inlineStr">
        <is>
          <t>Lipids / editor, Helmut K. Mangold.</t>
        </is>
      </c>
      <c r="E114" t="inlineStr">
        <is>
          <t>V. 2</t>
        </is>
      </c>
      <c r="F114" t="inlineStr">
        <is>
          <t>Yes</t>
        </is>
      </c>
      <c r="G114" t="inlineStr">
        <is>
          <t>1</t>
        </is>
      </c>
      <c r="H114" t="inlineStr">
        <is>
          <t>No</t>
        </is>
      </c>
      <c r="I114" t="inlineStr">
        <is>
          <t>No</t>
        </is>
      </c>
      <c r="J114" t="inlineStr">
        <is>
          <t>0</t>
        </is>
      </c>
      <c r="L114" t="inlineStr">
        <is>
          <t>Boca Raton, Fla. : CRC Press, c1984.</t>
        </is>
      </c>
      <c r="M114" t="inlineStr">
        <is>
          <t>1984</t>
        </is>
      </c>
      <c r="O114" t="inlineStr">
        <is>
          <t>eng</t>
        </is>
      </c>
      <c r="P114" t="inlineStr">
        <is>
          <t>xxu</t>
        </is>
      </c>
      <c r="Q114" t="inlineStr">
        <is>
          <t>CRC handbook of chromatography</t>
        </is>
      </c>
      <c r="R114" t="inlineStr">
        <is>
          <t xml:space="preserve">QU </t>
        </is>
      </c>
      <c r="S114" t="n">
        <v>5</v>
      </c>
      <c r="T114" t="n">
        <v>10</v>
      </c>
      <c r="U114" t="inlineStr">
        <is>
          <t>1989-10-10</t>
        </is>
      </c>
      <c r="V114" t="inlineStr">
        <is>
          <t>1990-08-30</t>
        </is>
      </c>
      <c r="W114" t="inlineStr">
        <is>
          <t>1989-08-29</t>
        </is>
      </c>
      <c r="X114" t="inlineStr">
        <is>
          <t>1989-08-29</t>
        </is>
      </c>
      <c r="Y114" t="n">
        <v>291</v>
      </c>
      <c r="Z114" t="n">
        <v>236</v>
      </c>
      <c r="AA114" t="n">
        <v>238</v>
      </c>
      <c r="AB114" t="n">
        <v>2</v>
      </c>
      <c r="AC114" t="n">
        <v>2</v>
      </c>
      <c r="AD114" t="n">
        <v>4</v>
      </c>
      <c r="AE114" t="n">
        <v>4</v>
      </c>
      <c r="AF114" t="n">
        <v>0</v>
      </c>
      <c r="AG114" t="n">
        <v>0</v>
      </c>
      <c r="AH114" t="n">
        <v>2</v>
      </c>
      <c r="AI114" t="n">
        <v>2</v>
      </c>
      <c r="AJ114" t="n">
        <v>2</v>
      </c>
      <c r="AK114" t="n">
        <v>2</v>
      </c>
      <c r="AL114" t="n">
        <v>1</v>
      </c>
      <c r="AM114" t="n">
        <v>1</v>
      </c>
      <c r="AN114" t="n">
        <v>0</v>
      </c>
      <c r="AO114" t="n">
        <v>0</v>
      </c>
      <c r="AP114" t="inlineStr">
        <is>
          <t>No</t>
        </is>
      </c>
      <c r="AQ114" t="inlineStr">
        <is>
          <t>Yes</t>
        </is>
      </c>
      <c r="AR114">
        <f>HYPERLINK("http://catalog.hathitrust.org/Record/000361327","HathiTrust Record")</f>
        <v/>
      </c>
      <c r="AS114">
        <f>HYPERLINK("https://creighton-primo.hosted.exlibrisgroup.com/primo-explore/search?tab=default_tab&amp;search_scope=EVERYTHING&amp;vid=01CRU&amp;lang=en_US&amp;offset=0&amp;query=any,contains,991001314019702656","Catalog Record")</f>
        <v/>
      </c>
      <c r="AT114">
        <f>HYPERLINK("http://www.worldcat.org/oclc/9197614","WorldCat Record")</f>
        <v/>
      </c>
      <c r="AU114" t="inlineStr">
        <is>
          <t>4916599898:eng</t>
        </is>
      </c>
      <c r="AV114" t="inlineStr">
        <is>
          <t>9197614</t>
        </is>
      </c>
      <c r="AW114" t="inlineStr">
        <is>
          <t>991001314019702656</t>
        </is>
      </c>
      <c r="AX114" t="inlineStr">
        <is>
          <t>991001314019702656</t>
        </is>
      </c>
      <c r="AY114" t="inlineStr">
        <is>
          <t>2266617430002656</t>
        </is>
      </c>
      <c r="AZ114" t="inlineStr">
        <is>
          <t>BOOK</t>
        </is>
      </c>
      <c r="BB114" t="inlineStr">
        <is>
          <t>9780849330377</t>
        </is>
      </c>
      <c r="BC114" t="inlineStr">
        <is>
          <t>30001001752106</t>
        </is>
      </c>
      <c r="BD114" t="inlineStr">
        <is>
          <t>893552349</t>
        </is>
      </c>
    </row>
    <row r="115">
      <c r="A115" t="inlineStr">
        <is>
          <t>No</t>
        </is>
      </c>
      <c r="B115" t="inlineStr">
        <is>
          <t>QU 39 L764 1984</t>
        </is>
      </c>
      <c r="C115" t="inlineStr">
        <is>
          <t>0                      QU 0039000L  764         1984</t>
        </is>
      </c>
      <c r="D115" t="inlineStr">
        <is>
          <t>Lipids / editor, Helmut K. Mangold.</t>
        </is>
      </c>
      <c r="E115" t="inlineStr">
        <is>
          <t>V. 1</t>
        </is>
      </c>
      <c r="F115" t="inlineStr">
        <is>
          <t>Yes</t>
        </is>
      </c>
      <c r="G115" t="inlineStr">
        <is>
          <t>1</t>
        </is>
      </c>
      <c r="H115" t="inlineStr">
        <is>
          <t>No</t>
        </is>
      </c>
      <c r="I115" t="inlineStr">
        <is>
          <t>No</t>
        </is>
      </c>
      <c r="J115" t="inlineStr">
        <is>
          <t>0</t>
        </is>
      </c>
      <c r="L115" t="inlineStr">
        <is>
          <t>Boca Raton, Fla. : CRC Press, c1984.</t>
        </is>
      </c>
      <c r="M115" t="inlineStr">
        <is>
          <t>1984</t>
        </is>
      </c>
      <c r="O115" t="inlineStr">
        <is>
          <t>eng</t>
        </is>
      </c>
      <c r="P115" t="inlineStr">
        <is>
          <t>xxu</t>
        </is>
      </c>
      <c r="Q115" t="inlineStr">
        <is>
          <t>CRC handbook of chromatography</t>
        </is>
      </c>
      <c r="R115" t="inlineStr">
        <is>
          <t xml:space="preserve">QU </t>
        </is>
      </c>
      <c r="S115" t="n">
        <v>5</v>
      </c>
      <c r="T115" t="n">
        <v>10</v>
      </c>
      <c r="U115" t="inlineStr">
        <is>
          <t>1990-08-30</t>
        </is>
      </c>
      <c r="V115" t="inlineStr">
        <is>
          <t>1990-08-30</t>
        </is>
      </c>
      <c r="W115" t="inlineStr">
        <is>
          <t>1989-08-29</t>
        </is>
      </c>
      <c r="X115" t="inlineStr">
        <is>
          <t>1989-08-29</t>
        </is>
      </c>
      <c r="Y115" t="n">
        <v>291</v>
      </c>
      <c r="Z115" t="n">
        <v>236</v>
      </c>
      <c r="AA115" t="n">
        <v>238</v>
      </c>
      <c r="AB115" t="n">
        <v>2</v>
      </c>
      <c r="AC115" t="n">
        <v>2</v>
      </c>
      <c r="AD115" t="n">
        <v>4</v>
      </c>
      <c r="AE115" t="n">
        <v>4</v>
      </c>
      <c r="AF115" t="n">
        <v>0</v>
      </c>
      <c r="AG115" t="n">
        <v>0</v>
      </c>
      <c r="AH115" t="n">
        <v>2</v>
      </c>
      <c r="AI115" t="n">
        <v>2</v>
      </c>
      <c r="AJ115" t="n">
        <v>2</v>
      </c>
      <c r="AK115" t="n">
        <v>2</v>
      </c>
      <c r="AL115" t="n">
        <v>1</v>
      </c>
      <c r="AM115" t="n">
        <v>1</v>
      </c>
      <c r="AN115" t="n">
        <v>0</v>
      </c>
      <c r="AO115" t="n">
        <v>0</v>
      </c>
      <c r="AP115" t="inlineStr">
        <is>
          <t>No</t>
        </is>
      </c>
      <c r="AQ115" t="inlineStr">
        <is>
          <t>Yes</t>
        </is>
      </c>
      <c r="AR115">
        <f>HYPERLINK("http://catalog.hathitrust.org/Record/000361327","HathiTrust Record")</f>
        <v/>
      </c>
      <c r="AS115">
        <f>HYPERLINK("https://creighton-primo.hosted.exlibrisgroup.com/primo-explore/search?tab=default_tab&amp;search_scope=EVERYTHING&amp;vid=01CRU&amp;lang=en_US&amp;offset=0&amp;query=any,contains,991001314019702656","Catalog Record")</f>
        <v/>
      </c>
      <c r="AT115">
        <f>HYPERLINK("http://www.worldcat.org/oclc/9197614","WorldCat Record")</f>
        <v/>
      </c>
      <c r="AU115" t="inlineStr">
        <is>
          <t>4916599898:eng</t>
        </is>
      </c>
      <c r="AV115" t="inlineStr">
        <is>
          <t>9197614</t>
        </is>
      </c>
      <c r="AW115" t="inlineStr">
        <is>
          <t>991001314019702656</t>
        </is>
      </c>
      <c r="AX115" t="inlineStr">
        <is>
          <t>991001314019702656</t>
        </is>
      </c>
      <c r="AY115" t="inlineStr">
        <is>
          <t>2266617430002656</t>
        </is>
      </c>
      <c r="AZ115" t="inlineStr">
        <is>
          <t>BOOK</t>
        </is>
      </c>
      <c r="BB115" t="inlineStr">
        <is>
          <t>9780849330377</t>
        </is>
      </c>
      <c r="BC115" t="inlineStr">
        <is>
          <t>30001001752098</t>
        </is>
      </c>
      <c r="BD115" t="inlineStr">
        <is>
          <t>893546567</t>
        </is>
      </c>
    </row>
    <row r="116">
      <c r="A116" t="inlineStr">
        <is>
          <t>No</t>
        </is>
      </c>
      <c r="B116" t="inlineStr">
        <is>
          <t>QU 39 P895 1989</t>
        </is>
      </c>
      <c r="C116" t="inlineStr">
        <is>
          <t>0                      QU 0039000P  895         1989</t>
        </is>
      </c>
      <c r="D116" t="inlineStr">
        <is>
          <t>Practical handbook of biochemistry and molecular biology / edited by Gerald D. Fasman.</t>
        </is>
      </c>
      <c r="F116" t="inlineStr">
        <is>
          <t>No</t>
        </is>
      </c>
      <c r="G116" t="inlineStr">
        <is>
          <t>1</t>
        </is>
      </c>
      <c r="H116" t="inlineStr">
        <is>
          <t>No</t>
        </is>
      </c>
      <c r="I116" t="inlineStr">
        <is>
          <t>No</t>
        </is>
      </c>
      <c r="J116" t="inlineStr">
        <is>
          <t>0</t>
        </is>
      </c>
      <c r="L116" t="inlineStr">
        <is>
          <t>Boca Raton, Fla. : CRC Press, c1989.</t>
        </is>
      </c>
      <c r="M116" t="inlineStr">
        <is>
          <t>1989</t>
        </is>
      </c>
      <c r="O116" t="inlineStr">
        <is>
          <t>eng</t>
        </is>
      </c>
      <c r="P116" t="inlineStr">
        <is>
          <t>xxu</t>
        </is>
      </c>
      <c r="R116" t="inlineStr">
        <is>
          <t xml:space="preserve">QU </t>
        </is>
      </c>
      <c r="S116" t="n">
        <v>10</v>
      </c>
      <c r="T116" t="n">
        <v>10</v>
      </c>
      <c r="U116" t="inlineStr">
        <is>
          <t>1995-02-02</t>
        </is>
      </c>
      <c r="V116" t="inlineStr">
        <is>
          <t>1995-02-02</t>
        </is>
      </c>
      <c r="W116" t="inlineStr">
        <is>
          <t>1991-07-23</t>
        </is>
      </c>
      <c r="X116" t="inlineStr">
        <is>
          <t>1991-07-23</t>
        </is>
      </c>
      <c r="Y116" t="n">
        <v>637</v>
      </c>
      <c r="Z116" t="n">
        <v>494</v>
      </c>
      <c r="AA116" t="n">
        <v>507</v>
      </c>
      <c r="AB116" t="n">
        <v>3</v>
      </c>
      <c r="AC116" t="n">
        <v>3</v>
      </c>
      <c r="AD116" t="n">
        <v>10</v>
      </c>
      <c r="AE116" t="n">
        <v>11</v>
      </c>
      <c r="AF116" t="n">
        <v>2</v>
      </c>
      <c r="AG116" t="n">
        <v>2</v>
      </c>
      <c r="AH116" t="n">
        <v>3</v>
      </c>
      <c r="AI116" t="n">
        <v>4</v>
      </c>
      <c r="AJ116" t="n">
        <v>8</v>
      </c>
      <c r="AK116" t="n">
        <v>8</v>
      </c>
      <c r="AL116" t="n">
        <v>1</v>
      </c>
      <c r="AM116" t="n">
        <v>1</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HYPERLINK("https://creighton-primo.hosted.exlibrisgroup.com/primo-explore/search?tab=default_tab&amp;search_scope=EVERYTHING&amp;vid=01CRU&amp;lang=en_US&amp;offset=0&amp;query=any,contains,991000943989702656","Catalog Record")</f>
        <v/>
      </c>
      <c r="AT116">
        <f>HYPERLINK("http://www.worldcat.org/oclc/18907242","WorldCat Record")</f>
        <v/>
      </c>
      <c r="AU116" t="inlineStr">
        <is>
          <t>3863763715:eng</t>
        </is>
      </c>
      <c r="AV116" t="inlineStr">
        <is>
          <t>18907242</t>
        </is>
      </c>
      <c r="AW116" t="inlineStr">
        <is>
          <t>991000943989702656</t>
        </is>
      </c>
      <c r="AX116" t="inlineStr">
        <is>
          <t>991000943989702656</t>
        </is>
      </c>
      <c r="AY116" t="inlineStr">
        <is>
          <t>2265409780002656</t>
        </is>
      </c>
      <c r="AZ116" t="inlineStr">
        <is>
          <t>BOOK</t>
        </is>
      </c>
      <c r="BB116" t="inlineStr">
        <is>
          <t>9780849337055</t>
        </is>
      </c>
      <c r="BC116" t="inlineStr">
        <is>
          <t>30001002193250</t>
        </is>
      </c>
      <c r="BD116" t="inlineStr">
        <is>
          <t>893148731</t>
        </is>
      </c>
    </row>
    <row r="117">
      <c r="A117" t="inlineStr">
        <is>
          <t>No</t>
        </is>
      </c>
      <c r="B117" t="inlineStr">
        <is>
          <t>QU 55 A614 1992</t>
        </is>
      </c>
      <c r="C117" t="inlineStr">
        <is>
          <t>0                      QU 0055000A  614         1992</t>
        </is>
      </c>
      <c r="D117" t="inlineStr">
        <is>
          <t>The Annexins / edited by Stephen E. Moss.</t>
        </is>
      </c>
      <c r="F117" t="inlineStr">
        <is>
          <t>No</t>
        </is>
      </c>
      <c r="G117" t="inlineStr">
        <is>
          <t>1</t>
        </is>
      </c>
      <c r="H117" t="inlineStr">
        <is>
          <t>No</t>
        </is>
      </c>
      <c r="I117" t="inlineStr">
        <is>
          <t>No</t>
        </is>
      </c>
      <c r="J117" t="inlineStr">
        <is>
          <t>0</t>
        </is>
      </c>
      <c r="L117" t="inlineStr">
        <is>
          <t>London ; Chapel Hill, NC : Portland Press, c1992.</t>
        </is>
      </c>
      <c r="M117" t="inlineStr">
        <is>
          <t>1992</t>
        </is>
      </c>
      <c r="O117" t="inlineStr">
        <is>
          <t>eng</t>
        </is>
      </c>
      <c r="P117" t="inlineStr">
        <is>
          <t>enk</t>
        </is>
      </c>
      <c r="Q117" t="inlineStr">
        <is>
          <t>Portland Press research monograph ; 2</t>
        </is>
      </c>
      <c r="R117" t="inlineStr">
        <is>
          <t xml:space="preserve">QU </t>
        </is>
      </c>
      <c r="S117" t="n">
        <v>5</v>
      </c>
      <c r="T117" t="n">
        <v>5</v>
      </c>
      <c r="U117" t="inlineStr">
        <is>
          <t>2007-11-19</t>
        </is>
      </c>
      <c r="V117" t="inlineStr">
        <is>
          <t>2007-11-19</t>
        </is>
      </c>
      <c r="W117" t="inlineStr">
        <is>
          <t>1993-02-18</t>
        </is>
      </c>
      <c r="X117" t="inlineStr">
        <is>
          <t>1993-02-18</t>
        </is>
      </c>
      <c r="Y117" t="n">
        <v>92</v>
      </c>
      <c r="Z117" t="n">
        <v>58</v>
      </c>
      <c r="AA117" t="n">
        <v>64</v>
      </c>
      <c r="AB117" t="n">
        <v>1</v>
      </c>
      <c r="AC117" t="n">
        <v>1</v>
      </c>
      <c r="AD117" t="n">
        <v>1</v>
      </c>
      <c r="AE117" t="n">
        <v>1</v>
      </c>
      <c r="AF117" t="n">
        <v>0</v>
      </c>
      <c r="AG117" t="n">
        <v>0</v>
      </c>
      <c r="AH117" t="n">
        <v>0</v>
      </c>
      <c r="AI117" t="n">
        <v>0</v>
      </c>
      <c r="AJ117" t="n">
        <v>1</v>
      </c>
      <c r="AK117" t="n">
        <v>1</v>
      </c>
      <c r="AL117" t="n">
        <v>0</v>
      </c>
      <c r="AM117" t="n">
        <v>0</v>
      </c>
      <c r="AN117" t="n">
        <v>0</v>
      </c>
      <c r="AO117" t="n">
        <v>0</v>
      </c>
      <c r="AP117" t="inlineStr">
        <is>
          <t>No</t>
        </is>
      </c>
      <c r="AQ117" t="inlineStr">
        <is>
          <t>Yes</t>
        </is>
      </c>
      <c r="AR117">
        <f>HYPERLINK("http://catalog.hathitrust.org/Record/002962841","HathiTrust Record")</f>
        <v/>
      </c>
      <c r="AS117">
        <f>HYPERLINK("https://creighton-primo.hosted.exlibrisgroup.com/primo-explore/search?tab=default_tab&amp;search_scope=EVERYTHING&amp;vid=01CRU&amp;lang=en_US&amp;offset=0&amp;query=any,contains,991001429109702656","Catalog Record")</f>
        <v/>
      </c>
      <c r="AT117">
        <f>HYPERLINK("http://www.worldcat.org/oclc/27357754","WorldCat Record")</f>
        <v/>
      </c>
      <c r="AU117" t="inlineStr">
        <is>
          <t>55670480:eng</t>
        </is>
      </c>
      <c r="AV117" t="inlineStr">
        <is>
          <t>27357754</t>
        </is>
      </c>
      <c r="AW117" t="inlineStr">
        <is>
          <t>991001429109702656</t>
        </is>
      </c>
      <c r="AX117" t="inlineStr">
        <is>
          <t>991001429109702656</t>
        </is>
      </c>
      <c r="AY117" t="inlineStr">
        <is>
          <t>2264330140002656</t>
        </is>
      </c>
      <c r="AZ117" t="inlineStr">
        <is>
          <t>BOOK</t>
        </is>
      </c>
      <c r="BB117" t="inlineStr">
        <is>
          <t>9781855780088</t>
        </is>
      </c>
      <c r="BC117" t="inlineStr">
        <is>
          <t>30001002528380</t>
        </is>
      </c>
      <c r="BD117" t="inlineStr">
        <is>
          <t>893287415</t>
        </is>
      </c>
    </row>
    <row r="118">
      <c r="A118" t="inlineStr">
        <is>
          <t>No</t>
        </is>
      </c>
      <c r="B118" t="inlineStr">
        <is>
          <t>QU 55 B368c 1943</t>
        </is>
      </c>
      <c r="C118" t="inlineStr">
        <is>
          <t>0                      QU 0055000B  368c        1943</t>
        </is>
      </c>
      <c r="D118" t="inlineStr">
        <is>
          <t>Creatine and creatinine metabolism / Howard H. Beard.</t>
        </is>
      </c>
      <c r="F118" t="inlineStr">
        <is>
          <t>No</t>
        </is>
      </c>
      <c r="G118" t="inlineStr">
        <is>
          <t>1</t>
        </is>
      </c>
      <c r="H118" t="inlineStr">
        <is>
          <t>No</t>
        </is>
      </c>
      <c r="I118" t="inlineStr">
        <is>
          <t>No</t>
        </is>
      </c>
      <c r="J118" t="inlineStr">
        <is>
          <t>0</t>
        </is>
      </c>
      <c r="K118" t="inlineStr">
        <is>
          <t>Beard, Howard H.</t>
        </is>
      </c>
      <c r="L118" t="inlineStr">
        <is>
          <t>Brooklyn, N.Y. : Chemical Publiching Co., Inc. c1943.</t>
        </is>
      </c>
      <c r="M118" t="inlineStr">
        <is>
          <t>1943</t>
        </is>
      </c>
      <c r="O118" t="inlineStr">
        <is>
          <t>eng</t>
        </is>
      </c>
      <c r="P118" t="inlineStr">
        <is>
          <t xml:space="preserve">bu </t>
        </is>
      </c>
      <c r="R118" t="inlineStr">
        <is>
          <t xml:space="preserve">QU </t>
        </is>
      </c>
      <c r="S118" t="n">
        <v>9</v>
      </c>
      <c r="T118" t="n">
        <v>9</v>
      </c>
      <c r="U118" t="inlineStr">
        <is>
          <t>2006-07-11</t>
        </is>
      </c>
      <c r="V118" t="inlineStr">
        <is>
          <t>2006-07-11</t>
        </is>
      </c>
      <c r="W118" t="inlineStr">
        <is>
          <t>1988-01-26</t>
        </is>
      </c>
      <c r="X118" t="inlineStr">
        <is>
          <t>1988-01-26</t>
        </is>
      </c>
      <c r="Y118" t="n">
        <v>109</v>
      </c>
      <c r="Z118" t="n">
        <v>75</v>
      </c>
      <c r="AA118" t="n">
        <v>93</v>
      </c>
      <c r="AB118" t="n">
        <v>1</v>
      </c>
      <c r="AC118" t="n">
        <v>1</v>
      </c>
      <c r="AD118" t="n">
        <v>1</v>
      </c>
      <c r="AE118" t="n">
        <v>1</v>
      </c>
      <c r="AF118" t="n">
        <v>1</v>
      </c>
      <c r="AG118" t="n">
        <v>1</v>
      </c>
      <c r="AH118" t="n">
        <v>0</v>
      </c>
      <c r="AI118" t="n">
        <v>0</v>
      </c>
      <c r="AJ118" t="n">
        <v>1</v>
      </c>
      <c r="AK118" t="n">
        <v>1</v>
      </c>
      <c r="AL118" t="n">
        <v>0</v>
      </c>
      <c r="AM118" t="n">
        <v>0</v>
      </c>
      <c r="AN118" t="n">
        <v>0</v>
      </c>
      <c r="AO118" t="n">
        <v>0</v>
      </c>
      <c r="AP118" t="inlineStr">
        <is>
          <t>Yes</t>
        </is>
      </c>
      <c r="AQ118" t="inlineStr">
        <is>
          <t>No</t>
        </is>
      </c>
      <c r="AR118">
        <f>HYPERLINK("http://catalog.hathitrust.org/Record/001580066","HathiTrust Record")</f>
        <v/>
      </c>
      <c r="AS118">
        <f>HYPERLINK("https://creighton-primo.hosted.exlibrisgroup.com/primo-explore/search?tab=default_tab&amp;search_scope=EVERYTHING&amp;vid=01CRU&amp;lang=en_US&amp;offset=0&amp;query=any,contains,991000896719702656","Catalog Record")</f>
        <v/>
      </c>
      <c r="AT118">
        <f>HYPERLINK("http://www.worldcat.org/oclc/9806687","WorldCat Record")</f>
        <v/>
      </c>
      <c r="AU118" t="inlineStr">
        <is>
          <t>2433043:eng</t>
        </is>
      </c>
      <c r="AV118" t="inlineStr">
        <is>
          <t>9806687</t>
        </is>
      </c>
      <c r="AW118" t="inlineStr">
        <is>
          <t>991000896719702656</t>
        </is>
      </c>
      <c r="AX118" t="inlineStr">
        <is>
          <t>991000896719702656</t>
        </is>
      </c>
      <c r="AY118" t="inlineStr">
        <is>
          <t>2265521980002656</t>
        </is>
      </c>
      <c r="AZ118" t="inlineStr">
        <is>
          <t>BOOK</t>
        </is>
      </c>
      <c r="BC118" t="inlineStr">
        <is>
          <t>30001000157398</t>
        </is>
      </c>
      <c r="BD118" t="inlineStr">
        <is>
          <t>893363510</t>
        </is>
      </c>
    </row>
    <row r="119">
      <c r="A119" t="inlineStr">
        <is>
          <t>No</t>
        </is>
      </c>
      <c r="B119" t="inlineStr">
        <is>
          <t>QU 55 B615 1980</t>
        </is>
      </c>
      <c r="C119" t="inlineStr">
        <is>
          <t>0                      QU 0055000B  615         1980</t>
        </is>
      </c>
      <c r="D119" t="inlineStr">
        <is>
          <t>The Biochemistry of glycoproteins and proteoglycans / edited by William J. Lennarz.</t>
        </is>
      </c>
      <c r="F119" t="inlineStr">
        <is>
          <t>No</t>
        </is>
      </c>
      <c r="G119" t="inlineStr">
        <is>
          <t>1</t>
        </is>
      </c>
      <c r="H119" t="inlineStr">
        <is>
          <t>No</t>
        </is>
      </c>
      <c r="I119" t="inlineStr">
        <is>
          <t>No</t>
        </is>
      </c>
      <c r="J119" t="inlineStr">
        <is>
          <t>0</t>
        </is>
      </c>
      <c r="L119" t="inlineStr">
        <is>
          <t>New York : Plenum Press, c1980.</t>
        </is>
      </c>
      <c r="M119" t="inlineStr">
        <is>
          <t>1980</t>
        </is>
      </c>
      <c r="O119" t="inlineStr">
        <is>
          <t>eng</t>
        </is>
      </c>
      <c r="P119" t="inlineStr">
        <is>
          <t>nyu</t>
        </is>
      </c>
      <c r="R119" t="inlineStr">
        <is>
          <t xml:space="preserve">QU </t>
        </is>
      </c>
      <c r="S119" t="n">
        <v>3</v>
      </c>
      <c r="T119" t="n">
        <v>3</v>
      </c>
      <c r="U119" t="inlineStr">
        <is>
          <t>2000-08-01</t>
        </is>
      </c>
      <c r="V119" t="inlineStr">
        <is>
          <t>2000-08-01</t>
        </is>
      </c>
      <c r="W119" t="inlineStr">
        <is>
          <t>1988-01-26</t>
        </is>
      </c>
      <c r="X119" t="inlineStr">
        <is>
          <t>1988-01-26</t>
        </is>
      </c>
      <c r="Y119" t="n">
        <v>407</v>
      </c>
      <c r="Z119" t="n">
        <v>292</v>
      </c>
      <c r="AA119" t="n">
        <v>312</v>
      </c>
      <c r="AB119" t="n">
        <v>2</v>
      </c>
      <c r="AC119" t="n">
        <v>2</v>
      </c>
      <c r="AD119" t="n">
        <v>9</v>
      </c>
      <c r="AE119" t="n">
        <v>10</v>
      </c>
      <c r="AF119" t="n">
        <v>0</v>
      </c>
      <c r="AG119" t="n">
        <v>1</v>
      </c>
      <c r="AH119" t="n">
        <v>5</v>
      </c>
      <c r="AI119" t="n">
        <v>5</v>
      </c>
      <c r="AJ119" t="n">
        <v>6</v>
      </c>
      <c r="AK119" t="n">
        <v>7</v>
      </c>
      <c r="AL119" t="n">
        <v>1</v>
      </c>
      <c r="AM119" t="n">
        <v>1</v>
      </c>
      <c r="AN119" t="n">
        <v>0</v>
      </c>
      <c r="AO119" t="n">
        <v>0</v>
      </c>
      <c r="AP119" t="inlineStr">
        <is>
          <t>No</t>
        </is>
      </c>
      <c r="AQ119" t="inlineStr">
        <is>
          <t>Yes</t>
        </is>
      </c>
      <c r="AR119">
        <f>HYPERLINK("http://catalog.hathitrust.org/Record/000727552","HathiTrust Record")</f>
        <v/>
      </c>
      <c r="AS119">
        <f>HYPERLINK("https://creighton-primo.hosted.exlibrisgroup.com/primo-explore/search?tab=default_tab&amp;search_scope=EVERYTHING&amp;vid=01CRU&amp;lang=en_US&amp;offset=0&amp;query=any,contains,991000896629702656","Catalog Record")</f>
        <v/>
      </c>
      <c r="AT119">
        <f>HYPERLINK("http://www.worldcat.org/oclc/5101904","WorldCat Record")</f>
        <v/>
      </c>
      <c r="AU119" t="inlineStr">
        <is>
          <t>54302912:eng</t>
        </is>
      </c>
      <c r="AV119" t="inlineStr">
        <is>
          <t>5101904</t>
        </is>
      </c>
      <c r="AW119" t="inlineStr">
        <is>
          <t>991000896629702656</t>
        </is>
      </c>
      <c r="AX119" t="inlineStr">
        <is>
          <t>991000896629702656</t>
        </is>
      </c>
      <c r="AY119" t="inlineStr">
        <is>
          <t>2259108890002656</t>
        </is>
      </c>
      <c r="AZ119" t="inlineStr">
        <is>
          <t>BOOK</t>
        </is>
      </c>
      <c r="BB119" t="inlineStr">
        <is>
          <t>9780306402432</t>
        </is>
      </c>
      <c r="BC119" t="inlineStr">
        <is>
          <t>30001000157372</t>
        </is>
      </c>
      <c r="BD119" t="inlineStr">
        <is>
          <t>893820696</t>
        </is>
      </c>
    </row>
    <row r="120">
      <c r="A120" t="inlineStr">
        <is>
          <t>No</t>
        </is>
      </c>
      <c r="B120" t="inlineStr">
        <is>
          <t>QU 55 B6179 1987</t>
        </is>
      </c>
      <c r="C120" t="inlineStr">
        <is>
          <t>0                      QU 0055000B  6179        1987</t>
        </is>
      </c>
      <c r="D120" t="inlineStr">
        <is>
          <t>Biology of proteoglycans / edited by Thomas N. Wight, Robert P. Mecham.</t>
        </is>
      </c>
      <c r="F120" t="inlineStr">
        <is>
          <t>No</t>
        </is>
      </c>
      <c r="G120" t="inlineStr">
        <is>
          <t>1</t>
        </is>
      </c>
      <c r="H120" t="inlineStr">
        <is>
          <t>No</t>
        </is>
      </c>
      <c r="I120" t="inlineStr">
        <is>
          <t>No</t>
        </is>
      </c>
      <c r="J120" t="inlineStr">
        <is>
          <t>0</t>
        </is>
      </c>
      <c r="L120" t="inlineStr">
        <is>
          <t>Orlando : Academic Press, c1987.</t>
        </is>
      </c>
      <c r="M120" t="inlineStr">
        <is>
          <t>1987</t>
        </is>
      </c>
      <c r="O120" t="inlineStr">
        <is>
          <t>eng</t>
        </is>
      </c>
      <c r="P120" t="inlineStr">
        <is>
          <t>xxu</t>
        </is>
      </c>
      <c r="Q120" t="inlineStr">
        <is>
          <t>Biology of extracellular matrix</t>
        </is>
      </c>
      <c r="R120" t="inlineStr">
        <is>
          <t xml:space="preserve">QU </t>
        </is>
      </c>
      <c r="S120" t="n">
        <v>4</v>
      </c>
      <c r="T120" t="n">
        <v>4</v>
      </c>
      <c r="U120" t="inlineStr">
        <is>
          <t>1989-05-16</t>
        </is>
      </c>
      <c r="V120" t="inlineStr">
        <is>
          <t>1989-05-16</t>
        </is>
      </c>
      <c r="W120" t="inlineStr">
        <is>
          <t>1988-05-17</t>
        </is>
      </c>
      <c r="X120" t="inlineStr">
        <is>
          <t>1988-05-17</t>
        </is>
      </c>
      <c r="Y120" t="n">
        <v>241</v>
      </c>
      <c r="Z120" t="n">
        <v>181</v>
      </c>
      <c r="AA120" t="n">
        <v>222</v>
      </c>
      <c r="AB120" t="n">
        <v>2</v>
      </c>
      <c r="AC120" t="n">
        <v>3</v>
      </c>
      <c r="AD120" t="n">
        <v>5</v>
      </c>
      <c r="AE120" t="n">
        <v>9</v>
      </c>
      <c r="AF120" t="n">
        <v>0</v>
      </c>
      <c r="AG120" t="n">
        <v>2</v>
      </c>
      <c r="AH120" t="n">
        <v>3</v>
      </c>
      <c r="AI120" t="n">
        <v>5</v>
      </c>
      <c r="AJ120" t="n">
        <v>2</v>
      </c>
      <c r="AK120" t="n">
        <v>2</v>
      </c>
      <c r="AL120" t="n">
        <v>1</v>
      </c>
      <c r="AM120" t="n">
        <v>2</v>
      </c>
      <c r="AN120" t="n">
        <v>0</v>
      </c>
      <c r="AO120" t="n">
        <v>0</v>
      </c>
      <c r="AP120" t="inlineStr">
        <is>
          <t>No</t>
        </is>
      </c>
      <c r="AQ120" t="inlineStr">
        <is>
          <t>Yes</t>
        </is>
      </c>
      <c r="AR120">
        <f>HYPERLINK("http://catalog.hathitrust.org/Record/000857821","HathiTrust Record")</f>
        <v/>
      </c>
      <c r="AS120">
        <f>HYPERLINK("https://creighton-primo.hosted.exlibrisgroup.com/primo-explore/search?tab=default_tab&amp;search_scope=EVERYTHING&amp;vid=01CRU&amp;lang=en_US&amp;offset=0&amp;query=any,contains,991001191689702656","Catalog Record")</f>
        <v/>
      </c>
      <c r="AT120">
        <f>HYPERLINK("http://www.worldcat.org/oclc/14518817","WorldCat Record")</f>
        <v/>
      </c>
      <c r="AU120" t="inlineStr">
        <is>
          <t>358576494:eng</t>
        </is>
      </c>
      <c r="AV120" t="inlineStr">
        <is>
          <t>14518817</t>
        </is>
      </c>
      <c r="AW120" t="inlineStr">
        <is>
          <t>991001191689702656</t>
        </is>
      </c>
      <c r="AX120" t="inlineStr">
        <is>
          <t>991001191689702656</t>
        </is>
      </c>
      <c r="AY120" t="inlineStr">
        <is>
          <t>2271224010002656</t>
        </is>
      </c>
      <c r="AZ120" t="inlineStr">
        <is>
          <t>BOOK</t>
        </is>
      </c>
      <c r="BB120" t="inlineStr">
        <is>
          <t>9780127506500</t>
        </is>
      </c>
      <c r="BC120" t="inlineStr">
        <is>
          <t>30001000979460</t>
        </is>
      </c>
      <c r="BD120" t="inlineStr">
        <is>
          <t>893284541</t>
        </is>
      </c>
    </row>
    <row r="121">
      <c r="A121" t="inlineStr">
        <is>
          <t>No</t>
        </is>
      </c>
      <c r="B121" t="inlineStr">
        <is>
          <t>QU 55 B817i 1999</t>
        </is>
      </c>
      <c r="C121" t="inlineStr">
        <is>
          <t>0                      QU 0055000B  817i        1999</t>
        </is>
      </c>
      <c r="D121" t="inlineStr">
        <is>
          <t>Introduction to protein structure / Carl Branden, John Tooze.</t>
        </is>
      </c>
      <c r="F121" t="inlineStr">
        <is>
          <t>No</t>
        </is>
      </c>
      <c r="G121" t="inlineStr">
        <is>
          <t>1</t>
        </is>
      </c>
      <c r="H121" t="inlineStr">
        <is>
          <t>No</t>
        </is>
      </c>
      <c r="I121" t="inlineStr">
        <is>
          <t>Yes</t>
        </is>
      </c>
      <c r="J121" t="inlineStr">
        <is>
          <t>0</t>
        </is>
      </c>
      <c r="K121" t="inlineStr">
        <is>
          <t>Brändén, Carl-Ivar, 1934-</t>
        </is>
      </c>
      <c r="L121" t="inlineStr">
        <is>
          <t>New York : Garland Pub., c1999.</t>
        </is>
      </c>
      <c r="M121" t="inlineStr">
        <is>
          <t>1999</t>
        </is>
      </c>
      <c r="N121" t="inlineStr">
        <is>
          <t>2nd ed.</t>
        </is>
      </c>
      <c r="O121" t="inlineStr">
        <is>
          <t>eng</t>
        </is>
      </c>
      <c r="P121" t="inlineStr">
        <is>
          <t>nyu</t>
        </is>
      </c>
      <c r="R121" t="inlineStr">
        <is>
          <t xml:space="preserve">QU </t>
        </is>
      </c>
      <c r="S121" t="n">
        <v>8</v>
      </c>
      <c r="T121" t="n">
        <v>8</v>
      </c>
      <c r="U121" t="inlineStr">
        <is>
          <t>2010-06-23</t>
        </is>
      </c>
      <c r="V121" t="inlineStr">
        <is>
          <t>2010-06-23</t>
        </is>
      </c>
      <c r="W121" t="inlineStr">
        <is>
          <t>1999-11-18</t>
        </is>
      </c>
      <c r="X121" t="inlineStr">
        <is>
          <t>1999-11-18</t>
        </is>
      </c>
      <c r="Y121" t="n">
        <v>741</v>
      </c>
      <c r="Z121" t="n">
        <v>500</v>
      </c>
      <c r="AA121" t="n">
        <v>848</v>
      </c>
      <c r="AB121" t="n">
        <v>3</v>
      </c>
      <c r="AC121" t="n">
        <v>8</v>
      </c>
      <c r="AD121" t="n">
        <v>19</v>
      </c>
      <c r="AE121" t="n">
        <v>41</v>
      </c>
      <c r="AF121" t="n">
        <v>8</v>
      </c>
      <c r="AG121" t="n">
        <v>15</v>
      </c>
      <c r="AH121" t="n">
        <v>5</v>
      </c>
      <c r="AI121" t="n">
        <v>7</v>
      </c>
      <c r="AJ121" t="n">
        <v>9</v>
      </c>
      <c r="AK121" t="n">
        <v>23</v>
      </c>
      <c r="AL121" t="n">
        <v>2</v>
      </c>
      <c r="AM121" t="n">
        <v>6</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HYPERLINK("https://creighton-primo.hosted.exlibrisgroup.com/primo-explore/search?tab=default_tab&amp;search_scope=EVERYTHING&amp;vid=01CRU&amp;lang=en_US&amp;offset=0&amp;query=any,contains,991001409999702656","Catalog Record")</f>
        <v/>
      </c>
      <c r="AT121">
        <f>HYPERLINK("http://www.worldcat.org/oclc/39508201","WorldCat Record")</f>
        <v/>
      </c>
      <c r="AU121" t="inlineStr">
        <is>
          <t>906209:eng</t>
        </is>
      </c>
      <c r="AV121" t="inlineStr">
        <is>
          <t>39508201</t>
        </is>
      </c>
      <c r="AW121" t="inlineStr">
        <is>
          <t>991001409999702656</t>
        </is>
      </c>
      <c r="AX121" t="inlineStr">
        <is>
          <t>991001409999702656</t>
        </is>
      </c>
      <c r="AY121" t="inlineStr">
        <is>
          <t>2268234800002656</t>
        </is>
      </c>
      <c r="AZ121" t="inlineStr">
        <is>
          <t>BOOK</t>
        </is>
      </c>
      <c r="BB121" t="inlineStr">
        <is>
          <t>9780815323044</t>
        </is>
      </c>
      <c r="BC121" t="inlineStr">
        <is>
          <t>30001003830595</t>
        </is>
      </c>
      <c r="BD121" t="inlineStr">
        <is>
          <t>893633024</t>
        </is>
      </c>
    </row>
    <row r="122">
      <c r="A122" t="inlineStr">
        <is>
          <t>No</t>
        </is>
      </c>
      <c r="B122" t="inlineStr">
        <is>
          <t>QU 55 C1438 1986</t>
        </is>
      </c>
      <c r="C122" t="inlineStr">
        <is>
          <t>0                      QU 0055000C  1438        1986</t>
        </is>
      </c>
      <c r="D122" t="inlineStr">
        <is>
          <t>Calcium and calcium binding proteins : molecular and functional aspects / Ch. Gerday, L. Bolis, R. Gilles (eds.).</t>
        </is>
      </c>
      <c r="F122" t="inlineStr">
        <is>
          <t>No</t>
        </is>
      </c>
      <c r="G122" t="inlineStr">
        <is>
          <t>1</t>
        </is>
      </c>
      <c r="H122" t="inlineStr">
        <is>
          <t>No</t>
        </is>
      </c>
      <c r="I122" t="inlineStr">
        <is>
          <t>No</t>
        </is>
      </c>
      <c r="J122" t="inlineStr">
        <is>
          <t>0</t>
        </is>
      </c>
      <c r="L122" t="inlineStr">
        <is>
          <t>Berlin ; New York : Springer Verlag, c1988.</t>
        </is>
      </c>
      <c r="M122" t="inlineStr">
        <is>
          <t>1988</t>
        </is>
      </c>
      <c r="O122" t="inlineStr">
        <is>
          <t>eng</t>
        </is>
      </c>
      <c r="P122" t="inlineStr">
        <is>
          <t xml:space="preserve">gw </t>
        </is>
      </c>
      <c r="Q122" t="inlineStr">
        <is>
          <t>Proceedings in life sciences</t>
        </is>
      </c>
      <c r="R122" t="inlineStr">
        <is>
          <t xml:space="preserve">QU </t>
        </is>
      </c>
      <c r="S122" t="n">
        <v>6</v>
      </c>
      <c r="T122" t="n">
        <v>6</v>
      </c>
      <c r="U122" t="inlineStr">
        <is>
          <t>1992-11-05</t>
        </is>
      </c>
      <c r="V122" t="inlineStr">
        <is>
          <t>1992-11-05</t>
        </is>
      </c>
      <c r="W122" t="inlineStr">
        <is>
          <t>1989-04-28</t>
        </is>
      </c>
      <c r="X122" t="inlineStr">
        <is>
          <t>1989-04-28</t>
        </is>
      </c>
      <c r="Y122" t="n">
        <v>164</v>
      </c>
      <c r="Z122" t="n">
        <v>114</v>
      </c>
      <c r="AA122" t="n">
        <v>134</v>
      </c>
      <c r="AB122" t="n">
        <v>1</v>
      </c>
      <c r="AC122" t="n">
        <v>1</v>
      </c>
      <c r="AD122" t="n">
        <v>4</v>
      </c>
      <c r="AE122" t="n">
        <v>5</v>
      </c>
      <c r="AF122" t="n">
        <v>1</v>
      </c>
      <c r="AG122" t="n">
        <v>2</v>
      </c>
      <c r="AH122" t="n">
        <v>2</v>
      </c>
      <c r="AI122" t="n">
        <v>2</v>
      </c>
      <c r="AJ122" t="n">
        <v>3</v>
      </c>
      <c r="AK122" t="n">
        <v>4</v>
      </c>
      <c r="AL122" t="n">
        <v>0</v>
      </c>
      <c r="AM122" t="n">
        <v>0</v>
      </c>
      <c r="AN122" t="n">
        <v>0</v>
      </c>
      <c r="AO122" t="n">
        <v>0</v>
      </c>
      <c r="AP122" t="inlineStr">
        <is>
          <t>No</t>
        </is>
      </c>
      <c r="AQ122" t="inlineStr">
        <is>
          <t>Yes</t>
        </is>
      </c>
      <c r="AR122">
        <f>HYPERLINK("http://catalog.hathitrust.org/Record/000905438","HathiTrust Record")</f>
        <v/>
      </c>
      <c r="AS122">
        <f>HYPERLINK("https://creighton-primo.hosted.exlibrisgroup.com/primo-explore/search?tab=default_tab&amp;search_scope=EVERYTHING&amp;vid=01CRU&amp;lang=en_US&amp;offset=0&amp;query=any,contains,991001245669702656","Catalog Record")</f>
        <v/>
      </c>
      <c r="AT122">
        <f>HYPERLINK("http://www.worldcat.org/oclc/17105848","WorldCat Record")</f>
        <v/>
      </c>
      <c r="AU122" t="inlineStr">
        <is>
          <t>808348708:eng</t>
        </is>
      </c>
      <c r="AV122" t="inlineStr">
        <is>
          <t>17105848</t>
        </is>
      </c>
      <c r="AW122" t="inlineStr">
        <is>
          <t>991001245669702656</t>
        </is>
      </c>
      <c r="AX122" t="inlineStr">
        <is>
          <t>991001245669702656</t>
        </is>
      </c>
      <c r="AY122" t="inlineStr">
        <is>
          <t>2269904950002656</t>
        </is>
      </c>
      <c r="AZ122" t="inlineStr">
        <is>
          <t>BOOK</t>
        </is>
      </c>
      <c r="BB122" t="inlineStr">
        <is>
          <t>9780387184340</t>
        </is>
      </c>
      <c r="BC122" t="inlineStr">
        <is>
          <t>30001001677147</t>
        </is>
      </c>
      <c r="BD122" t="inlineStr">
        <is>
          <t>893149006</t>
        </is>
      </c>
    </row>
    <row r="123">
      <c r="A123" t="inlineStr">
        <is>
          <t>No</t>
        </is>
      </c>
      <c r="B123" t="inlineStr">
        <is>
          <t>QU 55 C144 1980-82 v.1,3</t>
        </is>
      </c>
      <c r="C123" t="inlineStr">
        <is>
          <t>0                      QU 0055000C  144         1980                                        -82 v.1,3</t>
        </is>
      </c>
      <c r="D123" t="inlineStr">
        <is>
          <t>Calcium and cell function : Volume I, Volume III / edited by Wai Yiu Cheung.</t>
        </is>
      </c>
      <c r="E123" t="inlineStr">
        <is>
          <t>V. 1</t>
        </is>
      </c>
      <c r="F123" t="inlineStr">
        <is>
          <t>Yes</t>
        </is>
      </c>
      <c r="G123" t="inlineStr">
        <is>
          <t>1</t>
        </is>
      </c>
      <c r="H123" t="inlineStr">
        <is>
          <t>No</t>
        </is>
      </c>
      <c r="I123" t="inlineStr">
        <is>
          <t>No</t>
        </is>
      </c>
      <c r="J123" t="inlineStr">
        <is>
          <t>0</t>
        </is>
      </c>
      <c r="L123" t="inlineStr">
        <is>
          <t>New York : Academic Press, c1980-1982.</t>
        </is>
      </c>
      <c r="M123" t="inlineStr">
        <is>
          <t>1980</t>
        </is>
      </c>
      <c r="O123" t="inlineStr">
        <is>
          <t>eng</t>
        </is>
      </c>
      <c r="P123" t="inlineStr">
        <is>
          <t>nyu</t>
        </is>
      </c>
      <c r="Q123" t="inlineStr">
        <is>
          <t>Molecular biology</t>
        </is>
      </c>
      <c r="R123" t="inlineStr">
        <is>
          <t xml:space="preserve">QU </t>
        </is>
      </c>
      <c r="S123" t="n">
        <v>5</v>
      </c>
      <c r="T123" t="n">
        <v>6</v>
      </c>
      <c r="U123" t="inlineStr">
        <is>
          <t>1994-09-13</t>
        </is>
      </c>
      <c r="V123" t="inlineStr">
        <is>
          <t>1994-09-13</t>
        </is>
      </c>
      <c r="W123" t="inlineStr">
        <is>
          <t>1988-01-26</t>
        </is>
      </c>
      <c r="X123" t="inlineStr">
        <is>
          <t>1988-01-26</t>
        </is>
      </c>
      <c r="Y123" t="n">
        <v>426</v>
      </c>
      <c r="Z123" t="n">
        <v>339</v>
      </c>
      <c r="AA123" t="n">
        <v>348</v>
      </c>
      <c r="AB123" t="n">
        <v>3</v>
      </c>
      <c r="AC123" t="n">
        <v>3</v>
      </c>
      <c r="AD123" t="n">
        <v>16</v>
      </c>
      <c r="AE123" t="n">
        <v>16</v>
      </c>
      <c r="AF123" t="n">
        <v>6</v>
      </c>
      <c r="AG123" t="n">
        <v>6</v>
      </c>
      <c r="AH123" t="n">
        <v>4</v>
      </c>
      <c r="AI123" t="n">
        <v>4</v>
      </c>
      <c r="AJ123" t="n">
        <v>10</v>
      </c>
      <c r="AK123" t="n">
        <v>10</v>
      </c>
      <c r="AL123" t="n">
        <v>2</v>
      </c>
      <c r="AM123" t="n">
        <v>2</v>
      </c>
      <c r="AN123" t="n">
        <v>0</v>
      </c>
      <c r="AO123" t="n">
        <v>0</v>
      </c>
      <c r="AP123" t="inlineStr">
        <is>
          <t>No</t>
        </is>
      </c>
      <c r="AQ123" t="inlineStr">
        <is>
          <t>Yes</t>
        </is>
      </c>
      <c r="AR123">
        <f>HYPERLINK("http://catalog.hathitrust.org/Record/000715514","HathiTrust Record")</f>
        <v/>
      </c>
      <c r="AS123">
        <f>HYPERLINK("https://creighton-primo.hosted.exlibrisgroup.com/primo-explore/search?tab=default_tab&amp;search_scope=EVERYTHING&amp;vid=01CRU&amp;lang=en_US&amp;offset=0&amp;query=any,contains,991000896469702656","Catalog Record")</f>
        <v/>
      </c>
      <c r="AT123">
        <f>HYPERLINK("http://www.worldcat.org/oclc/6760962","WorldCat Record")</f>
        <v/>
      </c>
      <c r="AU123" t="inlineStr">
        <is>
          <t>10678421178:eng</t>
        </is>
      </c>
      <c r="AV123" t="inlineStr">
        <is>
          <t>6760962</t>
        </is>
      </c>
      <c r="AW123" t="inlineStr">
        <is>
          <t>991000896469702656</t>
        </is>
      </c>
      <c r="AX123" t="inlineStr">
        <is>
          <t>991000896469702656</t>
        </is>
      </c>
      <c r="AY123" t="inlineStr">
        <is>
          <t>2264011130002656</t>
        </is>
      </c>
      <c r="AZ123" t="inlineStr">
        <is>
          <t>BOOK</t>
        </is>
      </c>
      <c r="BB123" t="inlineStr">
        <is>
          <t>9780121714017</t>
        </is>
      </c>
      <c r="BC123" t="inlineStr">
        <is>
          <t>30001000157315</t>
        </is>
      </c>
      <c r="BD123" t="inlineStr">
        <is>
          <t>893287084</t>
        </is>
      </c>
    </row>
    <row r="124">
      <c r="A124" t="inlineStr">
        <is>
          <t>No</t>
        </is>
      </c>
      <c r="B124" t="inlineStr">
        <is>
          <t>QU55 C144 1982</t>
        </is>
      </c>
      <c r="C124" t="inlineStr">
        <is>
          <t>0                      QU 0055000C  144         1982</t>
        </is>
      </c>
      <c r="D124" t="inlineStr">
        <is>
          <t>Calcium and cell function : Volume I, Volume III / edited by Wai Yiu Cheung.</t>
        </is>
      </c>
      <c r="E124" t="inlineStr">
        <is>
          <t>V. 3</t>
        </is>
      </c>
      <c r="F124" t="inlineStr">
        <is>
          <t>Yes</t>
        </is>
      </c>
      <c r="G124" t="inlineStr">
        <is>
          <t>1</t>
        </is>
      </c>
      <c r="H124" t="inlineStr">
        <is>
          <t>No</t>
        </is>
      </c>
      <c r="I124" t="inlineStr">
        <is>
          <t>No</t>
        </is>
      </c>
      <c r="J124" t="inlineStr">
        <is>
          <t>0</t>
        </is>
      </c>
      <c r="L124" t="inlineStr">
        <is>
          <t>New York : Academic Press, c1980-1982.</t>
        </is>
      </c>
      <c r="M124" t="inlineStr">
        <is>
          <t>1980</t>
        </is>
      </c>
      <c r="O124" t="inlineStr">
        <is>
          <t>eng</t>
        </is>
      </c>
      <c r="P124" t="inlineStr">
        <is>
          <t>nyu</t>
        </is>
      </c>
      <c r="Q124" t="inlineStr">
        <is>
          <t>Molecular biology</t>
        </is>
      </c>
      <c r="R124" t="inlineStr">
        <is>
          <t xml:space="preserve">QU </t>
        </is>
      </c>
      <c r="S124" t="n">
        <v>1</v>
      </c>
      <c r="T124" t="n">
        <v>6</v>
      </c>
      <c r="U124" t="inlineStr">
        <is>
          <t>1989-08-07</t>
        </is>
      </c>
      <c r="V124" t="inlineStr">
        <is>
          <t>1994-09-13</t>
        </is>
      </c>
      <c r="W124" t="inlineStr">
        <is>
          <t>1988-01-26</t>
        </is>
      </c>
      <c r="X124" t="inlineStr">
        <is>
          <t>1988-01-26</t>
        </is>
      </c>
      <c r="Y124" t="n">
        <v>426</v>
      </c>
      <c r="Z124" t="n">
        <v>339</v>
      </c>
      <c r="AA124" t="n">
        <v>348</v>
      </c>
      <c r="AB124" t="n">
        <v>3</v>
      </c>
      <c r="AC124" t="n">
        <v>3</v>
      </c>
      <c r="AD124" t="n">
        <v>16</v>
      </c>
      <c r="AE124" t="n">
        <v>16</v>
      </c>
      <c r="AF124" t="n">
        <v>6</v>
      </c>
      <c r="AG124" t="n">
        <v>6</v>
      </c>
      <c r="AH124" t="n">
        <v>4</v>
      </c>
      <c r="AI124" t="n">
        <v>4</v>
      </c>
      <c r="AJ124" t="n">
        <v>10</v>
      </c>
      <c r="AK124" t="n">
        <v>10</v>
      </c>
      <c r="AL124" t="n">
        <v>2</v>
      </c>
      <c r="AM124" t="n">
        <v>2</v>
      </c>
      <c r="AN124" t="n">
        <v>0</v>
      </c>
      <c r="AO124" t="n">
        <v>0</v>
      </c>
      <c r="AP124" t="inlineStr">
        <is>
          <t>No</t>
        </is>
      </c>
      <c r="AQ124" t="inlineStr">
        <is>
          <t>Yes</t>
        </is>
      </c>
      <c r="AR124">
        <f>HYPERLINK("http://catalog.hathitrust.org/Record/000715514","HathiTrust Record")</f>
        <v/>
      </c>
      <c r="AS124">
        <f>HYPERLINK("https://creighton-primo.hosted.exlibrisgroup.com/primo-explore/search?tab=default_tab&amp;search_scope=EVERYTHING&amp;vid=01CRU&amp;lang=en_US&amp;offset=0&amp;query=any,contains,991000896469702656","Catalog Record")</f>
        <v/>
      </c>
      <c r="AT124">
        <f>HYPERLINK("http://www.worldcat.org/oclc/6760962","WorldCat Record")</f>
        <v/>
      </c>
      <c r="AU124" t="inlineStr">
        <is>
          <t>10678421178:eng</t>
        </is>
      </c>
      <c r="AV124" t="inlineStr">
        <is>
          <t>6760962</t>
        </is>
      </c>
      <c r="AW124" t="inlineStr">
        <is>
          <t>991000896469702656</t>
        </is>
      </c>
      <c r="AX124" t="inlineStr">
        <is>
          <t>991000896469702656</t>
        </is>
      </c>
      <c r="AY124" t="inlineStr">
        <is>
          <t>2264011130002656</t>
        </is>
      </c>
      <c r="AZ124" t="inlineStr">
        <is>
          <t>BOOK</t>
        </is>
      </c>
      <c r="BB124" t="inlineStr">
        <is>
          <t>9780121714017</t>
        </is>
      </c>
      <c r="BC124" t="inlineStr">
        <is>
          <t>30001000157307</t>
        </is>
      </c>
      <c r="BD124" t="inlineStr">
        <is>
          <t>893273439</t>
        </is>
      </c>
    </row>
    <row r="125">
      <c r="A125" t="inlineStr">
        <is>
          <t>No</t>
        </is>
      </c>
      <c r="B125" t="inlineStr">
        <is>
          <t>QU 55 C163 1988</t>
        </is>
      </c>
      <c r="C125" t="inlineStr">
        <is>
          <t>0                      QU 0055000C  163         1988</t>
        </is>
      </c>
      <c r="D125" t="inlineStr">
        <is>
          <t>Calmodulin / edited by Philip Cohen and Claude B. Klee.</t>
        </is>
      </c>
      <c r="F125" t="inlineStr">
        <is>
          <t>No</t>
        </is>
      </c>
      <c r="G125" t="inlineStr">
        <is>
          <t>1</t>
        </is>
      </c>
      <c r="H125" t="inlineStr">
        <is>
          <t>No</t>
        </is>
      </c>
      <c r="I125" t="inlineStr">
        <is>
          <t>No</t>
        </is>
      </c>
      <c r="J125" t="inlineStr">
        <is>
          <t>0</t>
        </is>
      </c>
      <c r="L125" t="inlineStr">
        <is>
          <t>Amsterdam ; New York : Elsevier, c1988.</t>
        </is>
      </c>
      <c r="M125" t="inlineStr">
        <is>
          <t>1988</t>
        </is>
      </c>
      <c r="O125" t="inlineStr">
        <is>
          <t>eng</t>
        </is>
      </c>
      <c r="P125" t="inlineStr">
        <is>
          <t xml:space="preserve">ne </t>
        </is>
      </c>
      <c r="Q125" t="inlineStr">
        <is>
          <t>Molecular aspects of cellular regulation ; v. 5</t>
        </is>
      </c>
      <c r="R125" t="inlineStr">
        <is>
          <t xml:space="preserve">QU </t>
        </is>
      </c>
      <c r="S125" t="n">
        <v>15</v>
      </c>
      <c r="T125" t="n">
        <v>15</v>
      </c>
      <c r="U125" t="inlineStr">
        <is>
          <t>1995-03-15</t>
        </is>
      </c>
      <c r="V125" t="inlineStr">
        <is>
          <t>1995-03-15</t>
        </is>
      </c>
      <c r="W125" t="inlineStr">
        <is>
          <t>1989-02-24</t>
        </is>
      </c>
      <c r="X125" t="inlineStr">
        <is>
          <t>1989-02-24</t>
        </is>
      </c>
      <c r="Y125" t="n">
        <v>189</v>
      </c>
      <c r="Z125" t="n">
        <v>112</v>
      </c>
      <c r="AA125" t="n">
        <v>114</v>
      </c>
      <c r="AB125" t="n">
        <v>2</v>
      </c>
      <c r="AC125" t="n">
        <v>2</v>
      </c>
      <c r="AD125" t="n">
        <v>5</v>
      </c>
      <c r="AE125" t="n">
        <v>5</v>
      </c>
      <c r="AF125" t="n">
        <v>0</v>
      </c>
      <c r="AG125" t="n">
        <v>0</v>
      </c>
      <c r="AH125" t="n">
        <v>2</v>
      </c>
      <c r="AI125" t="n">
        <v>2</v>
      </c>
      <c r="AJ125" t="n">
        <v>4</v>
      </c>
      <c r="AK125" t="n">
        <v>4</v>
      </c>
      <c r="AL125" t="n">
        <v>1</v>
      </c>
      <c r="AM125" t="n">
        <v>1</v>
      </c>
      <c r="AN125" t="n">
        <v>0</v>
      </c>
      <c r="AO125" t="n">
        <v>0</v>
      </c>
      <c r="AP125" t="inlineStr">
        <is>
          <t>No</t>
        </is>
      </c>
      <c r="AQ125" t="inlineStr">
        <is>
          <t>Yes</t>
        </is>
      </c>
      <c r="AR125">
        <f>HYPERLINK("http://catalog.hathitrust.org/Record/000921181","HathiTrust Record")</f>
        <v/>
      </c>
      <c r="AS125">
        <f>HYPERLINK("https://creighton-primo.hosted.exlibrisgroup.com/primo-explore/search?tab=default_tab&amp;search_scope=EVERYTHING&amp;vid=01CRU&amp;lang=en_US&amp;offset=0&amp;query=any,contains,991001240269702656","Catalog Record")</f>
        <v/>
      </c>
      <c r="AT125">
        <f>HYPERLINK("http://www.worldcat.org/oclc/17549574","WorldCat Record")</f>
        <v/>
      </c>
      <c r="AU125" t="inlineStr">
        <is>
          <t>55069501:eng</t>
        </is>
      </c>
      <c r="AV125" t="inlineStr">
        <is>
          <t>17549574</t>
        </is>
      </c>
      <c r="AW125" t="inlineStr">
        <is>
          <t>991001240269702656</t>
        </is>
      </c>
      <c r="AX125" t="inlineStr">
        <is>
          <t>991001240269702656</t>
        </is>
      </c>
      <c r="AY125" t="inlineStr">
        <is>
          <t>2255008660002656</t>
        </is>
      </c>
      <c r="AZ125" t="inlineStr">
        <is>
          <t>BOOK</t>
        </is>
      </c>
      <c r="BB125" t="inlineStr">
        <is>
          <t>9780444809452</t>
        </is>
      </c>
      <c r="BC125" t="inlineStr">
        <is>
          <t>30001001675422</t>
        </is>
      </c>
      <c r="BD125" t="inlineStr">
        <is>
          <t>893284590</t>
        </is>
      </c>
    </row>
    <row r="126">
      <c r="A126" t="inlineStr">
        <is>
          <t>No</t>
        </is>
      </c>
      <c r="B126" t="inlineStr">
        <is>
          <t>QU 55 C6965 1988</t>
        </is>
      </c>
      <c r="C126" t="inlineStr">
        <is>
          <t>0                      QU 0055000C  6965        1988</t>
        </is>
      </c>
      <c r="D126" t="inlineStr">
        <is>
          <t>Collagen / editor, Marcel E. Nimni.</t>
        </is>
      </c>
      <c r="E126" t="inlineStr">
        <is>
          <t>V. 2</t>
        </is>
      </c>
      <c r="F126" t="inlineStr">
        <is>
          <t>Yes</t>
        </is>
      </c>
      <c r="G126" t="inlineStr">
        <is>
          <t>1</t>
        </is>
      </c>
      <c r="H126" t="inlineStr">
        <is>
          <t>No</t>
        </is>
      </c>
      <c r="I126" t="inlineStr">
        <is>
          <t>No</t>
        </is>
      </c>
      <c r="J126" t="inlineStr">
        <is>
          <t>0</t>
        </is>
      </c>
      <c r="L126" t="inlineStr">
        <is>
          <t>Boca Raton, Fla. : CRC Press, c1988.</t>
        </is>
      </c>
      <c r="M126" t="inlineStr">
        <is>
          <t>1988</t>
        </is>
      </c>
      <c r="O126" t="inlineStr">
        <is>
          <t>eng</t>
        </is>
      </c>
      <c r="P126" t="inlineStr">
        <is>
          <t>xxu</t>
        </is>
      </c>
      <c r="R126" t="inlineStr">
        <is>
          <t xml:space="preserve">QU </t>
        </is>
      </c>
      <c r="S126" t="n">
        <v>6</v>
      </c>
      <c r="T126" t="n">
        <v>27</v>
      </c>
      <c r="U126" t="inlineStr">
        <is>
          <t>1993-02-12</t>
        </is>
      </c>
      <c r="V126" t="inlineStr">
        <is>
          <t>2005-12-27</t>
        </is>
      </c>
      <c r="W126" t="inlineStr">
        <is>
          <t>1988-03-30</t>
        </is>
      </c>
      <c r="X126" t="inlineStr">
        <is>
          <t>1988-03-30</t>
        </is>
      </c>
      <c r="Y126" t="n">
        <v>173</v>
      </c>
      <c r="Z126" t="n">
        <v>134</v>
      </c>
      <c r="AA126" t="n">
        <v>138</v>
      </c>
      <c r="AB126" t="n">
        <v>1</v>
      </c>
      <c r="AC126" t="n">
        <v>1</v>
      </c>
      <c r="AD126" t="n">
        <v>2</v>
      </c>
      <c r="AE126" t="n">
        <v>2</v>
      </c>
      <c r="AF126" t="n">
        <v>0</v>
      </c>
      <c r="AG126" t="n">
        <v>0</v>
      </c>
      <c r="AH126" t="n">
        <v>2</v>
      </c>
      <c r="AI126" t="n">
        <v>2</v>
      </c>
      <c r="AJ126" t="n">
        <v>1</v>
      </c>
      <c r="AK126" t="n">
        <v>1</v>
      </c>
      <c r="AL126" t="n">
        <v>0</v>
      </c>
      <c r="AM126" t="n">
        <v>0</v>
      </c>
      <c r="AN126" t="n">
        <v>0</v>
      </c>
      <c r="AO126" t="n">
        <v>0</v>
      </c>
      <c r="AP126" t="inlineStr">
        <is>
          <t>No</t>
        </is>
      </c>
      <c r="AQ126" t="inlineStr">
        <is>
          <t>Yes</t>
        </is>
      </c>
      <c r="AR126">
        <f>HYPERLINK("http://catalog.hathitrust.org/Record/008990297","HathiTrust Record")</f>
        <v/>
      </c>
      <c r="AS126">
        <f>HYPERLINK("https://creighton-primo.hosted.exlibrisgroup.com/primo-explore/search?tab=default_tab&amp;search_scope=EVERYTHING&amp;vid=01CRU&amp;lang=en_US&amp;offset=0&amp;query=any,contains,991001184219702656","Catalog Record")</f>
        <v/>
      </c>
      <c r="AT126">
        <f>HYPERLINK("http://www.worldcat.org/oclc/16524269","WorldCat Record")</f>
        <v/>
      </c>
      <c r="AU126" t="inlineStr">
        <is>
          <t>5609358429:eng</t>
        </is>
      </c>
      <c r="AV126" t="inlineStr">
        <is>
          <t>16524269</t>
        </is>
      </c>
      <c r="AW126" t="inlineStr">
        <is>
          <t>991001184219702656</t>
        </is>
      </c>
      <c r="AX126" t="inlineStr">
        <is>
          <t>991001184219702656</t>
        </is>
      </c>
      <c r="AY126" t="inlineStr">
        <is>
          <t>2260911550002656</t>
        </is>
      </c>
      <c r="AZ126" t="inlineStr">
        <is>
          <t>BOOK</t>
        </is>
      </c>
      <c r="BB126" t="inlineStr">
        <is>
          <t>9780849346002</t>
        </is>
      </c>
      <c r="BC126" t="inlineStr">
        <is>
          <t>30001000977597</t>
        </is>
      </c>
      <c r="BD126" t="inlineStr">
        <is>
          <t>893273853</t>
        </is>
      </c>
    </row>
    <row r="127">
      <c r="A127" t="inlineStr">
        <is>
          <t>No</t>
        </is>
      </c>
      <c r="B127" t="inlineStr">
        <is>
          <t>QU 55 C6965 1988</t>
        </is>
      </c>
      <c r="C127" t="inlineStr">
        <is>
          <t>0                      QU 0055000C  6965        1988</t>
        </is>
      </c>
      <c r="D127" t="inlineStr">
        <is>
          <t>Collagen / editor, Marcel E. Nimni.</t>
        </is>
      </c>
      <c r="E127" t="inlineStr">
        <is>
          <t>V. 1</t>
        </is>
      </c>
      <c r="F127" t="inlineStr">
        <is>
          <t>Yes</t>
        </is>
      </c>
      <c r="G127" t="inlineStr">
        <is>
          <t>1</t>
        </is>
      </c>
      <c r="H127" t="inlineStr">
        <is>
          <t>No</t>
        </is>
      </c>
      <c r="I127" t="inlineStr">
        <is>
          <t>No</t>
        </is>
      </c>
      <c r="J127" t="inlineStr">
        <is>
          <t>0</t>
        </is>
      </c>
      <c r="L127" t="inlineStr">
        <is>
          <t>Boca Raton, Fla. : CRC Press, c1988.</t>
        </is>
      </c>
      <c r="M127" t="inlineStr">
        <is>
          <t>1988</t>
        </is>
      </c>
      <c r="O127" t="inlineStr">
        <is>
          <t>eng</t>
        </is>
      </c>
      <c r="P127" t="inlineStr">
        <is>
          <t>xxu</t>
        </is>
      </c>
      <c r="R127" t="inlineStr">
        <is>
          <t xml:space="preserve">QU </t>
        </is>
      </c>
      <c r="S127" t="n">
        <v>15</v>
      </c>
      <c r="T127" t="n">
        <v>27</v>
      </c>
      <c r="U127" t="inlineStr">
        <is>
          <t>2005-12-27</t>
        </is>
      </c>
      <c r="V127" t="inlineStr">
        <is>
          <t>2005-12-27</t>
        </is>
      </c>
      <c r="W127" t="inlineStr">
        <is>
          <t>1988-03-30</t>
        </is>
      </c>
      <c r="X127" t="inlineStr">
        <is>
          <t>1988-03-30</t>
        </is>
      </c>
      <c r="Y127" t="n">
        <v>173</v>
      </c>
      <c r="Z127" t="n">
        <v>134</v>
      </c>
      <c r="AA127" t="n">
        <v>138</v>
      </c>
      <c r="AB127" t="n">
        <v>1</v>
      </c>
      <c r="AC127" t="n">
        <v>1</v>
      </c>
      <c r="AD127" t="n">
        <v>2</v>
      </c>
      <c r="AE127" t="n">
        <v>2</v>
      </c>
      <c r="AF127" t="n">
        <v>0</v>
      </c>
      <c r="AG127" t="n">
        <v>0</v>
      </c>
      <c r="AH127" t="n">
        <v>2</v>
      </c>
      <c r="AI127" t="n">
        <v>2</v>
      </c>
      <c r="AJ127" t="n">
        <v>1</v>
      </c>
      <c r="AK127" t="n">
        <v>1</v>
      </c>
      <c r="AL127" t="n">
        <v>0</v>
      </c>
      <c r="AM127" t="n">
        <v>0</v>
      </c>
      <c r="AN127" t="n">
        <v>0</v>
      </c>
      <c r="AO127" t="n">
        <v>0</v>
      </c>
      <c r="AP127" t="inlineStr">
        <is>
          <t>No</t>
        </is>
      </c>
      <c r="AQ127" t="inlineStr">
        <is>
          <t>Yes</t>
        </is>
      </c>
      <c r="AR127">
        <f>HYPERLINK("http://catalog.hathitrust.org/Record/008990297","HathiTrust Record")</f>
        <v/>
      </c>
      <c r="AS127">
        <f>HYPERLINK("https://creighton-primo.hosted.exlibrisgroup.com/primo-explore/search?tab=default_tab&amp;search_scope=EVERYTHING&amp;vid=01CRU&amp;lang=en_US&amp;offset=0&amp;query=any,contains,991001184219702656","Catalog Record")</f>
        <v/>
      </c>
      <c r="AT127">
        <f>HYPERLINK("http://www.worldcat.org/oclc/16524269","WorldCat Record")</f>
        <v/>
      </c>
      <c r="AU127" t="inlineStr">
        <is>
          <t>5609358429:eng</t>
        </is>
      </c>
      <c r="AV127" t="inlineStr">
        <is>
          <t>16524269</t>
        </is>
      </c>
      <c r="AW127" t="inlineStr">
        <is>
          <t>991001184219702656</t>
        </is>
      </c>
      <c r="AX127" t="inlineStr">
        <is>
          <t>991001184219702656</t>
        </is>
      </c>
      <c r="AY127" t="inlineStr">
        <is>
          <t>2260911550002656</t>
        </is>
      </c>
      <c r="AZ127" t="inlineStr">
        <is>
          <t>BOOK</t>
        </is>
      </c>
      <c r="BB127" t="inlineStr">
        <is>
          <t>9780849346002</t>
        </is>
      </c>
      <c r="BC127" t="inlineStr">
        <is>
          <t>30001000977589</t>
        </is>
      </c>
      <c r="BD127" t="inlineStr">
        <is>
          <t>893278848</t>
        </is>
      </c>
    </row>
    <row r="128">
      <c r="A128" t="inlineStr">
        <is>
          <t>No</t>
        </is>
      </c>
      <c r="B128" t="inlineStr">
        <is>
          <t>QU 55 C6965 1988</t>
        </is>
      </c>
      <c r="C128" t="inlineStr">
        <is>
          <t>0                      QU 0055000C  6965        1988</t>
        </is>
      </c>
      <c r="D128" t="inlineStr">
        <is>
          <t>Collagen / editor, Marcel E. Nimni.</t>
        </is>
      </c>
      <c r="E128" t="inlineStr">
        <is>
          <t>V. 3</t>
        </is>
      </c>
      <c r="F128" t="inlineStr">
        <is>
          <t>Yes</t>
        </is>
      </c>
      <c r="G128" t="inlineStr">
        <is>
          <t>1</t>
        </is>
      </c>
      <c r="H128" t="inlineStr">
        <is>
          <t>No</t>
        </is>
      </c>
      <c r="I128" t="inlineStr">
        <is>
          <t>No</t>
        </is>
      </c>
      <c r="J128" t="inlineStr">
        <is>
          <t>0</t>
        </is>
      </c>
      <c r="L128" t="inlineStr">
        <is>
          <t>Boca Raton, Fla. : CRC Press, c1988.</t>
        </is>
      </c>
      <c r="M128" t="inlineStr">
        <is>
          <t>1988</t>
        </is>
      </c>
      <c r="O128" t="inlineStr">
        <is>
          <t>eng</t>
        </is>
      </c>
      <c r="P128" t="inlineStr">
        <is>
          <t>xxu</t>
        </is>
      </c>
      <c r="R128" t="inlineStr">
        <is>
          <t xml:space="preserve">QU </t>
        </is>
      </c>
      <c r="S128" t="n">
        <v>6</v>
      </c>
      <c r="T128" t="n">
        <v>27</v>
      </c>
      <c r="U128" t="inlineStr">
        <is>
          <t>1993-02-12</t>
        </is>
      </c>
      <c r="V128" t="inlineStr">
        <is>
          <t>2005-12-27</t>
        </is>
      </c>
      <c r="W128" t="inlineStr">
        <is>
          <t>1988-03-30</t>
        </is>
      </c>
      <c r="X128" t="inlineStr">
        <is>
          <t>1988-03-30</t>
        </is>
      </c>
      <c r="Y128" t="n">
        <v>173</v>
      </c>
      <c r="Z128" t="n">
        <v>134</v>
      </c>
      <c r="AA128" t="n">
        <v>138</v>
      </c>
      <c r="AB128" t="n">
        <v>1</v>
      </c>
      <c r="AC128" t="n">
        <v>1</v>
      </c>
      <c r="AD128" t="n">
        <v>2</v>
      </c>
      <c r="AE128" t="n">
        <v>2</v>
      </c>
      <c r="AF128" t="n">
        <v>0</v>
      </c>
      <c r="AG128" t="n">
        <v>0</v>
      </c>
      <c r="AH128" t="n">
        <v>2</v>
      </c>
      <c r="AI128" t="n">
        <v>2</v>
      </c>
      <c r="AJ128" t="n">
        <v>1</v>
      </c>
      <c r="AK128" t="n">
        <v>1</v>
      </c>
      <c r="AL128" t="n">
        <v>0</v>
      </c>
      <c r="AM128" t="n">
        <v>0</v>
      </c>
      <c r="AN128" t="n">
        <v>0</v>
      </c>
      <c r="AO128" t="n">
        <v>0</v>
      </c>
      <c r="AP128" t="inlineStr">
        <is>
          <t>No</t>
        </is>
      </c>
      <c r="AQ128" t="inlineStr">
        <is>
          <t>Yes</t>
        </is>
      </c>
      <c r="AR128">
        <f>HYPERLINK("http://catalog.hathitrust.org/Record/008990297","HathiTrust Record")</f>
        <v/>
      </c>
      <c r="AS128">
        <f>HYPERLINK("https://creighton-primo.hosted.exlibrisgroup.com/primo-explore/search?tab=default_tab&amp;search_scope=EVERYTHING&amp;vid=01CRU&amp;lang=en_US&amp;offset=0&amp;query=any,contains,991001184219702656","Catalog Record")</f>
        <v/>
      </c>
      <c r="AT128">
        <f>HYPERLINK("http://www.worldcat.org/oclc/16524269","WorldCat Record")</f>
        <v/>
      </c>
      <c r="AU128" t="inlineStr">
        <is>
          <t>5609358429:eng</t>
        </is>
      </c>
      <c r="AV128" t="inlineStr">
        <is>
          <t>16524269</t>
        </is>
      </c>
      <c r="AW128" t="inlineStr">
        <is>
          <t>991001184219702656</t>
        </is>
      </c>
      <c r="AX128" t="inlineStr">
        <is>
          <t>991001184219702656</t>
        </is>
      </c>
      <c r="AY128" t="inlineStr">
        <is>
          <t>2260911550002656</t>
        </is>
      </c>
      <c r="AZ128" t="inlineStr">
        <is>
          <t>BOOK</t>
        </is>
      </c>
      <c r="BB128" t="inlineStr">
        <is>
          <t>9780849346002</t>
        </is>
      </c>
      <c r="BC128" t="inlineStr">
        <is>
          <t>30001000977605</t>
        </is>
      </c>
      <c r="BD128" t="inlineStr">
        <is>
          <t>893284534</t>
        </is>
      </c>
    </row>
    <row r="129">
      <c r="A129" t="inlineStr">
        <is>
          <t>No</t>
        </is>
      </c>
      <c r="B129" t="inlineStr">
        <is>
          <t>QU 55 C6965 1989 v.4</t>
        </is>
      </c>
      <c r="C129" t="inlineStr">
        <is>
          <t>0                      QU 0055000C  6965        1989                                        v.4</t>
        </is>
      </c>
      <c r="D129" t="inlineStr">
        <is>
          <t>Collagen / editor, Marcel E. Nimni.</t>
        </is>
      </c>
      <c r="E129" t="inlineStr">
        <is>
          <t>V.4</t>
        </is>
      </c>
      <c r="F129" t="inlineStr">
        <is>
          <t>Yes</t>
        </is>
      </c>
      <c r="G129" t="inlineStr">
        <is>
          <t>1</t>
        </is>
      </c>
      <c r="H129" t="inlineStr">
        <is>
          <t>No</t>
        </is>
      </c>
      <c r="I129" t="inlineStr">
        <is>
          <t>No</t>
        </is>
      </c>
      <c r="J129" t="inlineStr">
        <is>
          <t>0</t>
        </is>
      </c>
      <c r="L129" t="inlineStr">
        <is>
          <t>Boca Raton, Fla. : CRC Press, c1989.</t>
        </is>
      </c>
      <c r="M129" t="inlineStr">
        <is>
          <t>1989</t>
        </is>
      </c>
      <c r="O129" t="inlineStr">
        <is>
          <t>eng</t>
        </is>
      </c>
      <c r="P129" t="inlineStr">
        <is>
          <t>flu</t>
        </is>
      </c>
      <c r="R129" t="inlineStr">
        <is>
          <t xml:space="preserve">QU </t>
        </is>
      </c>
      <c r="S129" t="n">
        <v>14</v>
      </c>
      <c r="T129" t="n">
        <v>14</v>
      </c>
      <c r="U129" t="inlineStr">
        <is>
          <t>2005-08-03</t>
        </is>
      </c>
      <c r="V129" t="inlineStr">
        <is>
          <t>2005-08-03</t>
        </is>
      </c>
      <c r="W129" t="inlineStr">
        <is>
          <t>1989-05-12</t>
        </is>
      </c>
      <c r="X129" t="inlineStr">
        <is>
          <t>1989-05-12</t>
        </is>
      </c>
      <c r="Y129" t="n">
        <v>173</v>
      </c>
      <c r="Z129" t="n">
        <v>134</v>
      </c>
      <c r="AA129" t="n">
        <v>138</v>
      </c>
      <c r="AB129" t="n">
        <v>1</v>
      </c>
      <c r="AC129" t="n">
        <v>1</v>
      </c>
      <c r="AD129" t="n">
        <v>2</v>
      </c>
      <c r="AE129" t="n">
        <v>2</v>
      </c>
      <c r="AF129" t="n">
        <v>0</v>
      </c>
      <c r="AG129" t="n">
        <v>0</v>
      </c>
      <c r="AH129" t="n">
        <v>2</v>
      </c>
      <c r="AI129" t="n">
        <v>2</v>
      </c>
      <c r="AJ129" t="n">
        <v>1</v>
      </c>
      <c r="AK129" t="n">
        <v>1</v>
      </c>
      <c r="AL129" t="n">
        <v>0</v>
      </c>
      <c r="AM129" t="n">
        <v>0</v>
      </c>
      <c r="AN129" t="n">
        <v>0</v>
      </c>
      <c r="AO129" t="n">
        <v>0</v>
      </c>
      <c r="AP129" t="inlineStr">
        <is>
          <t>No</t>
        </is>
      </c>
      <c r="AQ129" t="inlineStr">
        <is>
          <t>Yes</t>
        </is>
      </c>
      <c r="AR129">
        <f>HYPERLINK("http://catalog.hathitrust.org/Record/008990297","HathiTrust Record")</f>
        <v/>
      </c>
      <c r="AS129">
        <f>HYPERLINK("https://creighton-primo.hosted.exlibrisgroup.com/primo-explore/search?tab=default_tab&amp;search_scope=EVERYTHING&amp;vid=01CRU&amp;lang=en_US&amp;offset=0&amp;query=any,contains,991001246289702656","Catalog Record")</f>
        <v/>
      </c>
      <c r="AT129">
        <f>HYPERLINK("http://www.worldcat.org/oclc/16524269","WorldCat Record")</f>
        <v/>
      </c>
      <c r="AU129" t="inlineStr">
        <is>
          <t>5609358429:eng</t>
        </is>
      </c>
      <c r="AV129" t="inlineStr">
        <is>
          <t>16524269</t>
        </is>
      </c>
      <c r="AW129" t="inlineStr">
        <is>
          <t>991001246289702656</t>
        </is>
      </c>
      <c r="AX129" t="inlineStr">
        <is>
          <t>991001246289702656</t>
        </is>
      </c>
      <c r="AY129" t="inlineStr">
        <is>
          <t>2259378210002656</t>
        </is>
      </c>
      <c r="AZ129" t="inlineStr">
        <is>
          <t>BOOK</t>
        </is>
      </c>
      <c r="BB129" t="inlineStr">
        <is>
          <t>9780849346002</t>
        </is>
      </c>
      <c r="BC129" t="inlineStr">
        <is>
          <t>30001001677360</t>
        </is>
      </c>
      <c r="BD129" t="inlineStr">
        <is>
          <t>893284596</t>
        </is>
      </c>
    </row>
    <row r="130">
      <c r="A130" t="inlineStr">
        <is>
          <t>No</t>
        </is>
      </c>
      <c r="B130" t="inlineStr">
        <is>
          <t>QU 55 C911 1992</t>
        </is>
      </c>
      <c r="C130" t="inlineStr">
        <is>
          <t>0                      QU 0055000C  911         1992</t>
        </is>
      </c>
      <c r="D130" t="inlineStr">
        <is>
          <t>CRC handbook of endoglycosidases and glycoamidases / edited by Noriko Takahashi and Takashi Muramatsu.</t>
        </is>
      </c>
      <c r="F130" t="inlineStr">
        <is>
          <t>No</t>
        </is>
      </c>
      <c r="G130" t="inlineStr">
        <is>
          <t>1</t>
        </is>
      </c>
      <c r="H130" t="inlineStr">
        <is>
          <t>No</t>
        </is>
      </c>
      <c r="I130" t="inlineStr">
        <is>
          <t>No</t>
        </is>
      </c>
      <c r="J130" t="inlineStr">
        <is>
          <t>0</t>
        </is>
      </c>
      <c r="L130" t="inlineStr">
        <is>
          <t>Boca Raton : CRC Press, c1992.</t>
        </is>
      </c>
      <c r="M130" t="inlineStr">
        <is>
          <t>1992</t>
        </is>
      </c>
      <c r="O130" t="inlineStr">
        <is>
          <t>eng</t>
        </is>
      </c>
      <c r="P130" t="inlineStr">
        <is>
          <t>flu</t>
        </is>
      </c>
      <c r="R130" t="inlineStr">
        <is>
          <t xml:space="preserve">QU </t>
        </is>
      </c>
      <c r="S130" t="n">
        <v>3</v>
      </c>
      <c r="T130" t="n">
        <v>3</v>
      </c>
      <c r="U130" t="inlineStr">
        <is>
          <t>1993-01-19</t>
        </is>
      </c>
      <c r="V130" t="inlineStr">
        <is>
          <t>1993-01-19</t>
        </is>
      </c>
      <c r="W130" t="inlineStr">
        <is>
          <t>1993-01-06</t>
        </is>
      </c>
      <c r="X130" t="inlineStr">
        <is>
          <t>1993-01-06</t>
        </is>
      </c>
      <c r="Y130" t="n">
        <v>75</v>
      </c>
      <c r="Z130" t="n">
        <v>59</v>
      </c>
      <c r="AA130" t="n">
        <v>65</v>
      </c>
      <c r="AB130" t="n">
        <v>1</v>
      </c>
      <c r="AC130" t="n">
        <v>1</v>
      </c>
      <c r="AD130" t="n">
        <v>1</v>
      </c>
      <c r="AE130" t="n">
        <v>1</v>
      </c>
      <c r="AF130" t="n">
        <v>0</v>
      </c>
      <c r="AG130" t="n">
        <v>0</v>
      </c>
      <c r="AH130" t="n">
        <v>1</v>
      </c>
      <c r="AI130" t="n">
        <v>1</v>
      </c>
      <c r="AJ130" t="n">
        <v>0</v>
      </c>
      <c r="AK130" t="n">
        <v>0</v>
      </c>
      <c r="AL130" t="n">
        <v>0</v>
      </c>
      <c r="AM130" t="n">
        <v>0</v>
      </c>
      <c r="AN130" t="n">
        <v>0</v>
      </c>
      <c r="AO130" t="n">
        <v>0</v>
      </c>
      <c r="AP130" t="inlineStr">
        <is>
          <t>No</t>
        </is>
      </c>
      <c r="AQ130" t="inlineStr">
        <is>
          <t>Yes</t>
        </is>
      </c>
      <c r="AR130">
        <f>HYPERLINK("http://catalog.hathitrust.org/Record/002572038","HathiTrust Record")</f>
        <v/>
      </c>
      <c r="AS130">
        <f>HYPERLINK("https://creighton-primo.hosted.exlibrisgroup.com/primo-explore/search?tab=default_tab&amp;search_scope=EVERYTHING&amp;vid=01CRU&amp;lang=en_US&amp;offset=0&amp;query=any,contains,991001349489702656","Catalog Record")</f>
        <v/>
      </c>
      <c r="AT130">
        <f>HYPERLINK("http://www.worldcat.org/oclc/25025099","WorldCat Record")</f>
        <v/>
      </c>
      <c r="AU130" t="inlineStr">
        <is>
          <t>364463073:eng</t>
        </is>
      </c>
      <c r="AV130" t="inlineStr">
        <is>
          <t>25025099</t>
        </is>
      </c>
      <c r="AW130" t="inlineStr">
        <is>
          <t>991001349489702656</t>
        </is>
      </c>
      <c r="AX130" t="inlineStr">
        <is>
          <t>991001349489702656</t>
        </is>
      </c>
      <c r="AY130" t="inlineStr">
        <is>
          <t>2264046690002656</t>
        </is>
      </c>
      <c r="AZ130" t="inlineStr">
        <is>
          <t>BOOK</t>
        </is>
      </c>
      <c r="BB130" t="inlineStr">
        <is>
          <t>9780849336188</t>
        </is>
      </c>
      <c r="BC130" t="inlineStr">
        <is>
          <t>30001002458844</t>
        </is>
      </c>
      <c r="BD130" t="inlineStr">
        <is>
          <t>893546607</t>
        </is>
      </c>
    </row>
    <row r="131">
      <c r="A131" t="inlineStr">
        <is>
          <t>No</t>
        </is>
      </c>
      <c r="B131" t="inlineStr">
        <is>
          <t>QU 55 D772p 1994</t>
        </is>
      </c>
      <c r="C131" t="inlineStr">
        <is>
          <t>0                      QU 0055000D  772p        1994</t>
        </is>
      </c>
      <c r="D131" t="inlineStr">
        <is>
          <t>Principles of protein X-ray crystallography / Jan Drenth.</t>
        </is>
      </c>
      <c r="F131" t="inlineStr">
        <is>
          <t>No</t>
        </is>
      </c>
      <c r="G131" t="inlineStr">
        <is>
          <t>1</t>
        </is>
      </c>
      <c r="H131" t="inlineStr">
        <is>
          <t>No</t>
        </is>
      </c>
      <c r="I131" t="inlineStr">
        <is>
          <t>No</t>
        </is>
      </c>
      <c r="J131" t="inlineStr">
        <is>
          <t>1</t>
        </is>
      </c>
      <c r="K131" t="inlineStr">
        <is>
          <t>Drenth, Jan.</t>
        </is>
      </c>
      <c r="L131" t="inlineStr">
        <is>
          <t>New York : Springer-Verlag, c1994.</t>
        </is>
      </c>
      <c r="M131" t="inlineStr">
        <is>
          <t>1994</t>
        </is>
      </c>
      <c r="O131" t="inlineStr">
        <is>
          <t>eng</t>
        </is>
      </c>
      <c r="P131" t="inlineStr">
        <is>
          <t>nyu</t>
        </is>
      </c>
      <c r="Q131" t="inlineStr">
        <is>
          <t>Springer advanced texts in chemistry</t>
        </is>
      </c>
      <c r="R131" t="inlineStr">
        <is>
          <t xml:space="preserve">QU </t>
        </is>
      </c>
      <c r="S131" t="n">
        <v>14</v>
      </c>
      <c r="T131" t="n">
        <v>14</v>
      </c>
      <c r="U131" t="inlineStr">
        <is>
          <t>2008-06-10</t>
        </is>
      </c>
      <c r="V131" t="inlineStr">
        <is>
          <t>2008-06-10</t>
        </is>
      </c>
      <c r="W131" t="inlineStr">
        <is>
          <t>1994-05-19</t>
        </is>
      </c>
      <c r="X131" t="inlineStr">
        <is>
          <t>1994-05-19</t>
        </is>
      </c>
      <c r="Y131" t="n">
        <v>283</v>
      </c>
      <c r="Z131" t="n">
        <v>193</v>
      </c>
      <c r="AA131" t="n">
        <v>505</v>
      </c>
      <c r="AB131" t="n">
        <v>2</v>
      </c>
      <c r="AC131" t="n">
        <v>4</v>
      </c>
      <c r="AD131" t="n">
        <v>5</v>
      </c>
      <c r="AE131" t="n">
        <v>17</v>
      </c>
      <c r="AF131" t="n">
        <v>0</v>
      </c>
      <c r="AG131" t="n">
        <v>4</v>
      </c>
      <c r="AH131" t="n">
        <v>2</v>
      </c>
      <c r="AI131" t="n">
        <v>4</v>
      </c>
      <c r="AJ131" t="n">
        <v>4</v>
      </c>
      <c r="AK131" t="n">
        <v>12</v>
      </c>
      <c r="AL131" t="n">
        <v>1</v>
      </c>
      <c r="AM131" t="n">
        <v>2</v>
      </c>
      <c r="AN131" t="n">
        <v>0</v>
      </c>
      <c r="AO131" t="n">
        <v>0</v>
      </c>
      <c r="AP131" t="inlineStr">
        <is>
          <t>No</t>
        </is>
      </c>
      <c r="AQ131" t="inlineStr">
        <is>
          <t>Yes</t>
        </is>
      </c>
      <c r="AR131">
        <f>HYPERLINK("http://catalog.hathitrust.org/Record/002810100","HathiTrust Record")</f>
        <v/>
      </c>
      <c r="AS131">
        <f>HYPERLINK("https://creighton-primo.hosted.exlibrisgroup.com/primo-explore/search?tab=default_tab&amp;search_scope=EVERYTHING&amp;vid=01CRU&amp;lang=en_US&amp;offset=0&amp;query=any,contains,991001195299702656","Catalog Record")</f>
        <v/>
      </c>
      <c r="AT131">
        <f>HYPERLINK("http://www.worldcat.org/oclc/28710276","WorldCat Record")</f>
        <v/>
      </c>
      <c r="AU131" t="inlineStr">
        <is>
          <t>30968207:eng</t>
        </is>
      </c>
      <c r="AV131" t="inlineStr">
        <is>
          <t>28710276</t>
        </is>
      </c>
      <c r="AW131" t="inlineStr">
        <is>
          <t>991001195299702656</t>
        </is>
      </c>
      <c r="AX131" t="inlineStr">
        <is>
          <t>991001195299702656</t>
        </is>
      </c>
      <c r="AY131" t="inlineStr">
        <is>
          <t>2265803320002656</t>
        </is>
      </c>
      <c r="AZ131" t="inlineStr">
        <is>
          <t>BOOK</t>
        </is>
      </c>
      <c r="BB131" t="inlineStr">
        <is>
          <t>9780387940915</t>
        </is>
      </c>
      <c r="BC131" t="inlineStr">
        <is>
          <t>30001002984377</t>
        </is>
      </c>
      <c r="BD131" t="inlineStr">
        <is>
          <t>893374332</t>
        </is>
      </c>
    </row>
    <row r="132">
      <c r="A132" t="inlineStr">
        <is>
          <t>No</t>
        </is>
      </c>
      <c r="B132" t="inlineStr">
        <is>
          <t>QU 55 F296 1984</t>
        </is>
      </c>
      <c r="C132" t="inlineStr">
        <is>
          <t>0                      QU 0055000F  296         1984</t>
        </is>
      </c>
      <c r="D132" t="inlineStr">
        <is>
          <t>Methods of protein analysis / edited by István Kerese ; translation editor, R.A. Chalmers.</t>
        </is>
      </c>
      <c r="F132" t="inlineStr">
        <is>
          <t>No</t>
        </is>
      </c>
      <c r="G132" t="inlineStr">
        <is>
          <t>1</t>
        </is>
      </c>
      <c r="H132" t="inlineStr">
        <is>
          <t>No</t>
        </is>
      </c>
      <c r="I132" t="inlineStr">
        <is>
          <t>No</t>
        </is>
      </c>
      <c r="J132" t="inlineStr">
        <is>
          <t>0</t>
        </is>
      </c>
      <c r="K132" t="inlineStr">
        <is>
          <t>Fehérjevizsgálati módszerek. English.</t>
        </is>
      </c>
      <c r="L132" t="inlineStr">
        <is>
          <t>Chichester [West Sussex] : E. Horwood ; New York : Halsted Press, c1984.</t>
        </is>
      </c>
      <c r="M132" t="inlineStr">
        <is>
          <t>1984</t>
        </is>
      </c>
      <c r="O132" t="inlineStr">
        <is>
          <t>eng</t>
        </is>
      </c>
      <c r="P132" t="inlineStr">
        <is>
          <t>enk</t>
        </is>
      </c>
      <c r="R132" t="inlineStr">
        <is>
          <t xml:space="preserve">QU </t>
        </is>
      </c>
      <c r="S132" t="n">
        <v>4</v>
      </c>
      <c r="T132" t="n">
        <v>4</v>
      </c>
      <c r="U132" t="inlineStr">
        <is>
          <t>1989-06-15</t>
        </is>
      </c>
      <c r="V132" t="inlineStr">
        <is>
          <t>1989-06-15</t>
        </is>
      </c>
      <c r="W132" t="inlineStr">
        <is>
          <t>1988-01-26</t>
        </is>
      </c>
      <c r="X132" t="inlineStr">
        <is>
          <t>1988-01-26</t>
        </is>
      </c>
      <c r="Y132" t="n">
        <v>315</v>
      </c>
      <c r="Z132" t="n">
        <v>248</v>
      </c>
      <c r="AA132" t="n">
        <v>249</v>
      </c>
      <c r="AB132" t="n">
        <v>3</v>
      </c>
      <c r="AC132" t="n">
        <v>3</v>
      </c>
      <c r="AD132" t="n">
        <v>12</v>
      </c>
      <c r="AE132" t="n">
        <v>12</v>
      </c>
      <c r="AF132" t="n">
        <v>1</v>
      </c>
      <c r="AG132" t="n">
        <v>1</v>
      </c>
      <c r="AH132" t="n">
        <v>6</v>
      </c>
      <c r="AI132" t="n">
        <v>6</v>
      </c>
      <c r="AJ132" t="n">
        <v>5</v>
      </c>
      <c r="AK132" t="n">
        <v>5</v>
      </c>
      <c r="AL132" t="n">
        <v>2</v>
      </c>
      <c r="AM132" t="n">
        <v>2</v>
      </c>
      <c r="AN132" t="n">
        <v>0</v>
      </c>
      <c r="AO132" t="n">
        <v>0</v>
      </c>
      <c r="AP132" t="inlineStr">
        <is>
          <t>No</t>
        </is>
      </c>
      <c r="AQ132" t="inlineStr">
        <is>
          <t>Yes</t>
        </is>
      </c>
      <c r="AR132">
        <f>HYPERLINK("http://catalog.hathitrust.org/Record/000327659","HathiTrust Record")</f>
        <v/>
      </c>
      <c r="AS132">
        <f>HYPERLINK("https://creighton-primo.hosted.exlibrisgroup.com/primo-explore/search?tab=default_tab&amp;search_scope=EVERYTHING&amp;vid=01CRU&amp;lang=en_US&amp;offset=0&amp;query=any,contains,991000896879702656","Catalog Record")</f>
        <v/>
      </c>
      <c r="AT132">
        <f>HYPERLINK("http://www.worldcat.org/oclc/9920222","WorldCat Record")</f>
        <v/>
      </c>
      <c r="AU132" t="inlineStr">
        <is>
          <t>48738094:eng</t>
        </is>
      </c>
      <c r="AV132" t="inlineStr">
        <is>
          <t>9920222</t>
        </is>
      </c>
      <c r="AW132" t="inlineStr">
        <is>
          <t>991000896879702656</t>
        </is>
      </c>
      <c r="AX132" t="inlineStr">
        <is>
          <t>991000896879702656</t>
        </is>
      </c>
      <c r="AY132" t="inlineStr">
        <is>
          <t>2264221050002656</t>
        </is>
      </c>
      <c r="AZ132" t="inlineStr">
        <is>
          <t>BOOK</t>
        </is>
      </c>
      <c r="BB132" t="inlineStr">
        <is>
          <t>9780853121763</t>
        </is>
      </c>
      <c r="BC132" t="inlineStr">
        <is>
          <t>30001000157547</t>
        </is>
      </c>
      <c r="BD132" t="inlineStr">
        <is>
          <t>893374070</t>
        </is>
      </c>
    </row>
    <row r="133">
      <c r="A133" t="inlineStr">
        <is>
          <t>No</t>
        </is>
      </c>
      <c r="B133" t="inlineStr">
        <is>
          <t>QU 55 F411s 1999</t>
        </is>
      </c>
      <c r="C133" t="inlineStr">
        <is>
          <t>0                      QU 0055000F  411s        1999</t>
        </is>
      </c>
      <c r="D133" t="inlineStr">
        <is>
          <t>Structure and mechanism in protein science : a guide to enzyme catalysis and protein folding / Alan Fersht.</t>
        </is>
      </c>
      <c r="F133" t="inlineStr">
        <is>
          <t>No</t>
        </is>
      </c>
      <c r="G133" t="inlineStr">
        <is>
          <t>1</t>
        </is>
      </c>
      <c r="H133" t="inlineStr">
        <is>
          <t>No</t>
        </is>
      </c>
      <c r="I133" t="inlineStr">
        <is>
          <t>No</t>
        </is>
      </c>
      <c r="J133" t="inlineStr">
        <is>
          <t>0</t>
        </is>
      </c>
      <c r="K133" t="inlineStr">
        <is>
          <t>Fersht, Alan, 1943-</t>
        </is>
      </c>
      <c r="L133" t="inlineStr">
        <is>
          <t>New York : W.H. Freeman, c1999</t>
        </is>
      </c>
      <c r="M133" t="inlineStr">
        <is>
          <t>1999</t>
        </is>
      </c>
      <c r="O133" t="inlineStr">
        <is>
          <t>eng</t>
        </is>
      </c>
      <c r="P133" t="inlineStr">
        <is>
          <t>nyu</t>
        </is>
      </c>
      <c r="R133" t="inlineStr">
        <is>
          <t xml:space="preserve">QU </t>
        </is>
      </c>
      <c r="S133" t="n">
        <v>11</v>
      </c>
      <c r="T133" t="n">
        <v>11</v>
      </c>
      <c r="U133" t="inlineStr">
        <is>
          <t>2009-02-17</t>
        </is>
      </c>
      <c r="V133" t="inlineStr">
        <is>
          <t>2009-02-17</t>
        </is>
      </c>
      <c r="W133" t="inlineStr">
        <is>
          <t>2000-04-18</t>
        </is>
      </c>
      <c r="X133" t="inlineStr">
        <is>
          <t>2000-04-18</t>
        </is>
      </c>
      <c r="Y133" t="n">
        <v>566</v>
      </c>
      <c r="Z133" t="n">
        <v>375</v>
      </c>
      <c r="AA133" t="n">
        <v>389</v>
      </c>
      <c r="AB133" t="n">
        <v>3</v>
      </c>
      <c r="AC133" t="n">
        <v>3</v>
      </c>
      <c r="AD133" t="n">
        <v>23</v>
      </c>
      <c r="AE133" t="n">
        <v>24</v>
      </c>
      <c r="AF133" t="n">
        <v>7</v>
      </c>
      <c r="AG133" t="n">
        <v>8</v>
      </c>
      <c r="AH133" t="n">
        <v>7</v>
      </c>
      <c r="AI133" t="n">
        <v>7</v>
      </c>
      <c r="AJ133" t="n">
        <v>12</v>
      </c>
      <c r="AK133" t="n">
        <v>12</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HYPERLINK("https://creighton-primo.hosted.exlibrisgroup.com/primo-explore/search?tab=default_tab&amp;search_scope=EVERYTHING&amp;vid=01CRU&amp;lang=en_US&amp;offset=0&amp;query=any,contains,991001445879702656","Catalog Record")</f>
        <v/>
      </c>
      <c r="AT133">
        <f>HYPERLINK("http://www.worldcat.org/oclc/39606488","WorldCat Record")</f>
        <v/>
      </c>
      <c r="AU133" t="inlineStr">
        <is>
          <t>197492149:eng</t>
        </is>
      </c>
      <c r="AV133" t="inlineStr">
        <is>
          <t>39606488</t>
        </is>
      </c>
      <c r="AW133" t="inlineStr">
        <is>
          <t>991001445879702656</t>
        </is>
      </c>
      <c r="AX133" t="inlineStr">
        <is>
          <t>991001445879702656</t>
        </is>
      </c>
      <c r="AY133" t="inlineStr">
        <is>
          <t>2259913680002656</t>
        </is>
      </c>
      <c r="AZ133" t="inlineStr">
        <is>
          <t>BOOK</t>
        </is>
      </c>
      <c r="BB133" t="inlineStr">
        <is>
          <t>9780716732686</t>
        </is>
      </c>
      <c r="BC133" t="inlineStr">
        <is>
          <t>30001003884451</t>
        </is>
      </c>
      <c r="BD133" t="inlineStr">
        <is>
          <t>893168202</t>
        </is>
      </c>
    </row>
    <row r="134">
      <c r="A134" t="inlineStr">
        <is>
          <t>No</t>
        </is>
      </c>
      <c r="B134" t="inlineStr">
        <is>
          <t>QU 55 F771 1990</t>
        </is>
      </c>
      <c r="C134" t="inlineStr">
        <is>
          <t>0                      QU 0055000F  771         1990</t>
        </is>
      </c>
      <c r="D134" t="inlineStr">
        <is>
          <t>Fundamentals of protein biotechnology / edited by Stanley Stein.</t>
        </is>
      </c>
      <c r="F134" t="inlineStr">
        <is>
          <t>No</t>
        </is>
      </c>
      <c r="G134" t="inlineStr">
        <is>
          <t>1</t>
        </is>
      </c>
      <c r="H134" t="inlineStr">
        <is>
          <t>No</t>
        </is>
      </c>
      <c r="I134" t="inlineStr">
        <is>
          <t>No</t>
        </is>
      </c>
      <c r="J134" t="inlineStr">
        <is>
          <t>0</t>
        </is>
      </c>
      <c r="L134" t="inlineStr">
        <is>
          <t>New York : M. Dekker, c1990.</t>
        </is>
      </c>
      <c r="M134" t="inlineStr">
        <is>
          <t>1990</t>
        </is>
      </c>
      <c r="O134" t="inlineStr">
        <is>
          <t>eng</t>
        </is>
      </c>
      <c r="P134" t="inlineStr">
        <is>
          <t>xxu</t>
        </is>
      </c>
      <c r="Q134" t="inlineStr">
        <is>
          <t>Bioprocess technology ; v. 7</t>
        </is>
      </c>
      <c r="R134" t="inlineStr">
        <is>
          <t xml:space="preserve">QU </t>
        </is>
      </c>
      <c r="S134" t="n">
        <v>7</v>
      </c>
      <c r="T134" t="n">
        <v>7</v>
      </c>
      <c r="U134" t="inlineStr">
        <is>
          <t>2004-04-14</t>
        </is>
      </c>
      <c r="V134" t="inlineStr">
        <is>
          <t>2004-04-14</t>
        </is>
      </c>
      <c r="W134" t="inlineStr">
        <is>
          <t>1991-02-16</t>
        </is>
      </c>
      <c r="X134" t="inlineStr">
        <is>
          <t>1991-02-16</t>
        </is>
      </c>
      <c r="Y134" t="n">
        <v>162</v>
      </c>
      <c r="Z134" t="n">
        <v>111</v>
      </c>
      <c r="AA134" t="n">
        <v>113</v>
      </c>
      <c r="AB134" t="n">
        <v>1</v>
      </c>
      <c r="AC134" t="n">
        <v>1</v>
      </c>
      <c r="AD134" t="n">
        <v>5</v>
      </c>
      <c r="AE134" t="n">
        <v>5</v>
      </c>
      <c r="AF134" t="n">
        <v>2</v>
      </c>
      <c r="AG134" t="n">
        <v>2</v>
      </c>
      <c r="AH134" t="n">
        <v>2</v>
      </c>
      <c r="AI134" t="n">
        <v>2</v>
      </c>
      <c r="AJ134" t="n">
        <v>2</v>
      </c>
      <c r="AK134" t="n">
        <v>2</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HYPERLINK("https://creighton-primo.hosted.exlibrisgroup.com/primo-explore/search?tab=default_tab&amp;search_scope=EVERYTHING&amp;vid=01CRU&amp;lang=en_US&amp;offset=0&amp;query=any,contains,991000819309702656","Catalog Record")</f>
        <v/>
      </c>
      <c r="AT134">
        <f>HYPERLINK("http://www.worldcat.org/oclc/21597598","WorldCat Record")</f>
        <v/>
      </c>
      <c r="AU134" t="inlineStr">
        <is>
          <t>23853731:eng</t>
        </is>
      </c>
      <c r="AV134" t="inlineStr">
        <is>
          <t>21597598</t>
        </is>
      </c>
      <c r="AW134" t="inlineStr">
        <is>
          <t>991000819309702656</t>
        </is>
      </c>
      <c r="AX134" t="inlineStr">
        <is>
          <t>991000819309702656</t>
        </is>
      </c>
      <c r="AY134" t="inlineStr">
        <is>
          <t>2263788820002656</t>
        </is>
      </c>
      <c r="AZ134" t="inlineStr">
        <is>
          <t>BOOK</t>
        </is>
      </c>
      <c r="BB134" t="inlineStr">
        <is>
          <t>9780824783464</t>
        </is>
      </c>
      <c r="BC134" t="inlineStr">
        <is>
          <t>30001002087262</t>
        </is>
      </c>
      <c r="BD134" t="inlineStr">
        <is>
          <t>893735834</t>
        </is>
      </c>
    </row>
    <row r="135">
      <c r="A135" t="inlineStr">
        <is>
          <t>No</t>
        </is>
      </c>
      <c r="B135" t="inlineStr">
        <is>
          <t>QU 55 G1051 1994</t>
        </is>
      </c>
      <c r="C135" t="inlineStr">
        <is>
          <t>0                      QU 0055000G  1051        1994</t>
        </is>
      </c>
      <c r="D135" t="inlineStr">
        <is>
          <t>G proteins / Allen M. Spiegel ... [et al.].</t>
        </is>
      </c>
      <c r="F135" t="inlineStr">
        <is>
          <t>No</t>
        </is>
      </c>
      <c r="G135" t="inlineStr">
        <is>
          <t>1</t>
        </is>
      </c>
      <c r="H135" t="inlineStr">
        <is>
          <t>No</t>
        </is>
      </c>
      <c r="I135" t="inlineStr">
        <is>
          <t>No</t>
        </is>
      </c>
      <c r="J135" t="inlineStr">
        <is>
          <t>0</t>
        </is>
      </c>
      <c r="L135" t="inlineStr">
        <is>
          <t>Austin, TX : R.G. Landes Co., c1994.</t>
        </is>
      </c>
      <c r="M135" t="inlineStr">
        <is>
          <t>1994</t>
        </is>
      </c>
      <c r="O135" t="inlineStr">
        <is>
          <t>eng</t>
        </is>
      </c>
      <c r="P135" t="inlineStr">
        <is>
          <t>txu</t>
        </is>
      </c>
      <c r="Q135" t="inlineStr">
        <is>
          <t>Molecular biology intelligence unit</t>
        </is>
      </c>
      <c r="R135" t="inlineStr">
        <is>
          <t xml:space="preserve">QU </t>
        </is>
      </c>
      <c r="S135" t="n">
        <v>2</v>
      </c>
      <c r="T135" t="n">
        <v>2</v>
      </c>
      <c r="U135" t="inlineStr">
        <is>
          <t>1995-02-21</t>
        </is>
      </c>
      <c r="V135" t="inlineStr">
        <is>
          <t>1995-02-21</t>
        </is>
      </c>
      <c r="W135" t="inlineStr">
        <is>
          <t>1995-01-23</t>
        </is>
      </c>
      <c r="X135" t="inlineStr">
        <is>
          <t>1995-01-23</t>
        </is>
      </c>
      <c r="Y135" t="n">
        <v>140</v>
      </c>
      <c r="Z135" t="n">
        <v>106</v>
      </c>
      <c r="AA135" t="n">
        <v>108</v>
      </c>
      <c r="AB135" t="n">
        <v>1</v>
      </c>
      <c r="AC135" t="n">
        <v>1</v>
      </c>
      <c r="AD135" t="n">
        <v>1</v>
      </c>
      <c r="AE135" t="n">
        <v>1</v>
      </c>
      <c r="AF135" t="n">
        <v>0</v>
      </c>
      <c r="AG135" t="n">
        <v>0</v>
      </c>
      <c r="AH135" t="n">
        <v>1</v>
      </c>
      <c r="AI135" t="n">
        <v>1</v>
      </c>
      <c r="AJ135" t="n">
        <v>1</v>
      </c>
      <c r="AK135" t="n">
        <v>1</v>
      </c>
      <c r="AL135" t="n">
        <v>0</v>
      </c>
      <c r="AM135" t="n">
        <v>0</v>
      </c>
      <c r="AN135" t="n">
        <v>0</v>
      </c>
      <c r="AO135" t="n">
        <v>0</v>
      </c>
      <c r="AP135" t="inlineStr">
        <is>
          <t>No</t>
        </is>
      </c>
      <c r="AQ135" t="inlineStr">
        <is>
          <t>Yes</t>
        </is>
      </c>
      <c r="AR135">
        <f>HYPERLINK("http://catalog.hathitrust.org/Record/002889799","HathiTrust Record")</f>
        <v/>
      </c>
      <c r="AS135">
        <f>HYPERLINK("https://creighton-primo.hosted.exlibrisgroup.com/primo-explore/search?tab=default_tab&amp;search_scope=EVERYTHING&amp;vid=01CRU&amp;lang=en_US&amp;offset=0&amp;query=any,contains,991001393679702656","Catalog Record")</f>
        <v/>
      </c>
      <c r="AT135">
        <f>HYPERLINK("http://www.worldcat.org/oclc/30474067","WorldCat Record")</f>
        <v/>
      </c>
      <c r="AU135" t="inlineStr">
        <is>
          <t>55825034:eng</t>
        </is>
      </c>
      <c r="AV135" t="inlineStr">
        <is>
          <t>30474067</t>
        </is>
      </c>
      <c r="AW135" t="inlineStr">
        <is>
          <t>991001393679702656</t>
        </is>
      </c>
      <c r="AX135" t="inlineStr">
        <is>
          <t>991001393679702656</t>
        </is>
      </c>
      <c r="AY135" t="inlineStr">
        <is>
          <t>2263965260002656</t>
        </is>
      </c>
      <c r="AZ135" t="inlineStr">
        <is>
          <t>BOOK</t>
        </is>
      </c>
      <c r="BB135" t="inlineStr">
        <is>
          <t>9781570590245</t>
        </is>
      </c>
      <c r="BC135" t="inlineStr">
        <is>
          <t>30001003145390</t>
        </is>
      </c>
      <c r="BD135" t="inlineStr">
        <is>
          <t>893460519</t>
        </is>
      </c>
    </row>
    <row r="136">
      <c r="A136" t="inlineStr">
        <is>
          <t>No</t>
        </is>
      </c>
      <c r="B136" t="inlineStr">
        <is>
          <t>QU 55 G1113 1998</t>
        </is>
      </c>
      <c r="C136" t="inlineStr">
        <is>
          <t>0                      QU 0055000G  1113        1998</t>
        </is>
      </c>
      <c r="D136" t="inlineStr">
        <is>
          <t>G proteins, receptors, and disease / edited by Allen M. Spiegel.</t>
        </is>
      </c>
      <c r="F136" t="inlineStr">
        <is>
          <t>No</t>
        </is>
      </c>
      <c r="G136" t="inlineStr">
        <is>
          <t>1</t>
        </is>
      </c>
      <c r="H136" t="inlineStr">
        <is>
          <t>No</t>
        </is>
      </c>
      <c r="I136" t="inlineStr">
        <is>
          <t>No</t>
        </is>
      </c>
      <c r="J136" t="inlineStr">
        <is>
          <t>0</t>
        </is>
      </c>
      <c r="L136" t="inlineStr">
        <is>
          <t>Totowa, N.J. : Humana Press, c1998.</t>
        </is>
      </c>
      <c r="M136" t="inlineStr">
        <is>
          <t>1998</t>
        </is>
      </c>
      <c r="O136" t="inlineStr">
        <is>
          <t>eng</t>
        </is>
      </c>
      <c r="P136" t="inlineStr">
        <is>
          <t>nju</t>
        </is>
      </c>
      <c r="Q136" t="inlineStr">
        <is>
          <t>Contemporary endocrinology ; 6</t>
        </is>
      </c>
      <c r="R136" t="inlineStr">
        <is>
          <t xml:space="preserve">QU </t>
        </is>
      </c>
      <c r="S136" t="n">
        <v>5</v>
      </c>
      <c r="T136" t="n">
        <v>5</v>
      </c>
      <c r="U136" t="inlineStr">
        <is>
          <t>2000-03-08</t>
        </is>
      </c>
      <c r="V136" t="inlineStr">
        <is>
          <t>2000-03-08</t>
        </is>
      </c>
      <c r="W136" t="inlineStr">
        <is>
          <t>2000-03-03</t>
        </is>
      </c>
      <c r="X136" t="inlineStr">
        <is>
          <t>2000-03-03</t>
        </is>
      </c>
      <c r="Y136" t="n">
        <v>149</v>
      </c>
      <c r="Z136" t="n">
        <v>116</v>
      </c>
      <c r="AA136" t="n">
        <v>136</v>
      </c>
      <c r="AB136" t="n">
        <v>1</v>
      </c>
      <c r="AC136" t="n">
        <v>1</v>
      </c>
      <c r="AD136" t="n">
        <v>5</v>
      </c>
      <c r="AE136" t="n">
        <v>6</v>
      </c>
      <c r="AF136" t="n">
        <v>0</v>
      </c>
      <c r="AG136" t="n">
        <v>0</v>
      </c>
      <c r="AH136" t="n">
        <v>3</v>
      </c>
      <c r="AI136" t="n">
        <v>3</v>
      </c>
      <c r="AJ136" t="n">
        <v>3</v>
      </c>
      <c r="AK136" t="n">
        <v>4</v>
      </c>
      <c r="AL136" t="n">
        <v>0</v>
      </c>
      <c r="AM136" t="n">
        <v>0</v>
      </c>
      <c r="AN136" t="n">
        <v>0</v>
      </c>
      <c r="AO136" t="n">
        <v>0</v>
      </c>
      <c r="AP136" t="inlineStr">
        <is>
          <t>No</t>
        </is>
      </c>
      <c r="AQ136" t="inlineStr">
        <is>
          <t>Yes</t>
        </is>
      </c>
      <c r="AR136">
        <f>HYPERLINK("http://catalog.hathitrust.org/Record/004026862","HathiTrust Record")</f>
        <v/>
      </c>
      <c r="AS136">
        <f>HYPERLINK("https://creighton-primo.hosted.exlibrisgroup.com/primo-explore/search?tab=default_tab&amp;search_scope=EVERYTHING&amp;vid=01CRU&amp;lang=en_US&amp;offset=0&amp;query=any,contains,991001442059702656","Catalog Record")</f>
        <v/>
      </c>
      <c r="AT136">
        <f>HYPERLINK("http://www.worldcat.org/oclc/38121160","WorldCat Record")</f>
        <v/>
      </c>
      <c r="AU136" t="inlineStr">
        <is>
          <t>650876:eng</t>
        </is>
      </c>
      <c r="AV136" t="inlineStr">
        <is>
          <t>38121160</t>
        </is>
      </c>
      <c r="AW136" t="inlineStr">
        <is>
          <t>991001442059702656</t>
        </is>
      </c>
      <c r="AX136" t="inlineStr">
        <is>
          <t>991001442059702656</t>
        </is>
      </c>
      <c r="AY136" t="inlineStr">
        <is>
          <t>2264863990002656</t>
        </is>
      </c>
      <c r="AZ136" t="inlineStr">
        <is>
          <t>BOOK</t>
        </is>
      </c>
      <c r="BB136" t="inlineStr">
        <is>
          <t>9780896034303</t>
        </is>
      </c>
      <c r="BC136" t="inlineStr">
        <is>
          <t>30001003882687</t>
        </is>
      </c>
      <c r="BD136" t="inlineStr">
        <is>
          <t>893465545</t>
        </is>
      </c>
    </row>
    <row r="137">
      <c r="A137" t="inlineStr">
        <is>
          <t>No</t>
        </is>
      </c>
      <c r="B137" t="inlineStr">
        <is>
          <t>QU 55 G3215 1990</t>
        </is>
      </c>
      <c r="C137" t="inlineStr">
        <is>
          <t>0                      QU 0055000G  3215        1990</t>
        </is>
      </c>
      <c r="D137" t="inlineStr">
        <is>
          <t>Gel electrophoresis of proteins : a practical approach / edited by B.D. Hames and D. Rickwood.</t>
        </is>
      </c>
      <c r="F137" t="inlineStr">
        <is>
          <t>No</t>
        </is>
      </c>
      <c r="G137" t="inlineStr">
        <is>
          <t>1</t>
        </is>
      </c>
      <c r="H137" t="inlineStr">
        <is>
          <t>No</t>
        </is>
      </c>
      <c r="I137" t="inlineStr">
        <is>
          <t>Yes</t>
        </is>
      </c>
      <c r="J137" t="inlineStr">
        <is>
          <t>1</t>
        </is>
      </c>
      <c r="L137" t="inlineStr">
        <is>
          <t>Oxford ; New York : IRL Press at Oxford University Press, c1990.</t>
        </is>
      </c>
      <c r="M137" t="inlineStr">
        <is>
          <t>1990</t>
        </is>
      </c>
      <c r="N137" t="inlineStr">
        <is>
          <t>2nd ed.</t>
        </is>
      </c>
      <c r="O137" t="inlineStr">
        <is>
          <t>eng</t>
        </is>
      </c>
      <c r="P137" t="inlineStr">
        <is>
          <t>enk</t>
        </is>
      </c>
      <c r="Q137" t="inlineStr">
        <is>
          <t>The Practical approach series.</t>
        </is>
      </c>
      <c r="R137" t="inlineStr">
        <is>
          <t xml:space="preserve">QU </t>
        </is>
      </c>
      <c r="S137" t="n">
        <v>48</v>
      </c>
      <c r="T137" t="n">
        <v>48</v>
      </c>
      <c r="U137" t="inlineStr">
        <is>
          <t>2003-02-24</t>
        </is>
      </c>
      <c r="V137" t="inlineStr">
        <is>
          <t>2003-02-24</t>
        </is>
      </c>
      <c r="W137" t="inlineStr">
        <is>
          <t>1991-02-14</t>
        </is>
      </c>
      <c r="X137" t="inlineStr">
        <is>
          <t>1991-02-14</t>
        </is>
      </c>
      <c r="Y137" t="n">
        <v>460</v>
      </c>
      <c r="Z137" t="n">
        <v>293</v>
      </c>
      <c r="AA137" t="n">
        <v>1241</v>
      </c>
      <c r="AB137" t="n">
        <v>2</v>
      </c>
      <c r="AC137" t="n">
        <v>17</v>
      </c>
      <c r="AD137" t="n">
        <v>7</v>
      </c>
      <c r="AE137" t="n">
        <v>47</v>
      </c>
      <c r="AF137" t="n">
        <v>1</v>
      </c>
      <c r="AG137" t="n">
        <v>16</v>
      </c>
      <c r="AH137" t="n">
        <v>3</v>
      </c>
      <c r="AI137" t="n">
        <v>12</v>
      </c>
      <c r="AJ137" t="n">
        <v>4</v>
      </c>
      <c r="AK137" t="n">
        <v>14</v>
      </c>
      <c r="AL137" t="n">
        <v>0</v>
      </c>
      <c r="AM137" t="n">
        <v>14</v>
      </c>
      <c r="AN137" t="n">
        <v>0</v>
      </c>
      <c r="AO137" t="n">
        <v>1</v>
      </c>
      <c r="AP137" t="inlineStr">
        <is>
          <t>No</t>
        </is>
      </c>
      <c r="AQ137" t="inlineStr">
        <is>
          <t>Yes</t>
        </is>
      </c>
      <c r="AR137">
        <f>HYPERLINK("http://catalog.hathitrust.org/Record/004567379","HathiTrust Record")</f>
        <v/>
      </c>
      <c r="AS137">
        <f>HYPERLINK("https://creighton-primo.hosted.exlibrisgroup.com/primo-explore/search?tab=default_tab&amp;search_scope=EVERYTHING&amp;vid=01CRU&amp;lang=en_US&amp;offset=0&amp;query=any,contains,991000818959702656","Catalog Record")</f>
        <v/>
      </c>
      <c r="AT137">
        <f>HYPERLINK("http://www.worldcat.org/oclc/21759842","WorldCat Record")</f>
        <v/>
      </c>
      <c r="AU137" t="inlineStr">
        <is>
          <t>793877437:eng</t>
        </is>
      </c>
      <c r="AV137" t="inlineStr">
        <is>
          <t>21759842</t>
        </is>
      </c>
      <c r="AW137" t="inlineStr">
        <is>
          <t>991000818959702656</t>
        </is>
      </c>
      <c r="AX137" t="inlineStr">
        <is>
          <t>991000818959702656</t>
        </is>
      </c>
      <c r="AY137" t="inlineStr">
        <is>
          <t>2264659570002656</t>
        </is>
      </c>
      <c r="AZ137" t="inlineStr">
        <is>
          <t>BOOK</t>
        </is>
      </c>
      <c r="BB137" t="inlineStr">
        <is>
          <t>9780199630752</t>
        </is>
      </c>
      <c r="BC137" t="inlineStr">
        <is>
          <t>30001002087197</t>
        </is>
      </c>
      <c r="BD137" t="inlineStr">
        <is>
          <t>893648273</t>
        </is>
      </c>
    </row>
    <row r="138">
      <c r="A138" t="inlineStr">
        <is>
          <t>No</t>
        </is>
      </c>
      <c r="B138" t="inlineStr">
        <is>
          <t>QU 55 G5685 1993</t>
        </is>
      </c>
      <c r="C138" t="inlineStr">
        <is>
          <t>0                      QU 0055000G  5685        1993</t>
        </is>
      </c>
      <c r="D138" t="inlineStr">
        <is>
          <t>Glycobiology : a practical approach / edited by Minoru Fukuda and Akira Kobata.</t>
        </is>
      </c>
      <c r="F138" t="inlineStr">
        <is>
          <t>No</t>
        </is>
      </c>
      <c r="G138" t="inlineStr">
        <is>
          <t>1</t>
        </is>
      </c>
      <c r="H138" t="inlineStr">
        <is>
          <t>No</t>
        </is>
      </c>
      <c r="I138" t="inlineStr">
        <is>
          <t>No</t>
        </is>
      </c>
      <c r="J138" t="inlineStr">
        <is>
          <t>0</t>
        </is>
      </c>
      <c r="L138" t="inlineStr">
        <is>
          <t>Oxford : IRL Press at Oxford University Press, c1993.</t>
        </is>
      </c>
      <c r="M138" t="inlineStr">
        <is>
          <t>1993</t>
        </is>
      </c>
      <c r="O138" t="inlineStr">
        <is>
          <t>eng</t>
        </is>
      </c>
      <c r="P138" t="inlineStr">
        <is>
          <t>enk</t>
        </is>
      </c>
      <c r="Q138" t="inlineStr">
        <is>
          <t>The Practical approach series ; 125.</t>
        </is>
      </c>
      <c r="R138" t="inlineStr">
        <is>
          <t xml:space="preserve">QU </t>
        </is>
      </c>
      <c r="S138" t="n">
        <v>14</v>
      </c>
      <c r="T138" t="n">
        <v>14</v>
      </c>
      <c r="U138" t="inlineStr">
        <is>
          <t>2005-10-02</t>
        </is>
      </c>
      <c r="V138" t="inlineStr">
        <is>
          <t>2005-10-02</t>
        </is>
      </c>
      <c r="W138" t="inlineStr">
        <is>
          <t>1994-07-19</t>
        </is>
      </c>
      <c r="X138" t="inlineStr">
        <is>
          <t>1994-07-19</t>
        </is>
      </c>
      <c r="Y138" t="n">
        <v>199</v>
      </c>
      <c r="Z138" t="n">
        <v>117</v>
      </c>
      <c r="AA138" t="n">
        <v>119</v>
      </c>
      <c r="AB138" t="n">
        <v>1</v>
      </c>
      <c r="AC138" t="n">
        <v>1</v>
      </c>
      <c r="AD138" t="n">
        <v>2</v>
      </c>
      <c r="AE138" t="n">
        <v>2</v>
      </c>
      <c r="AF138" t="n">
        <v>0</v>
      </c>
      <c r="AG138" t="n">
        <v>0</v>
      </c>
      <c r="AH138" t="n">
        <v>2</v>
      </c>
      <c r="AI138" t="n">
        <v>2</v>
      </c>
      <c r="AJ138" t="n">
        <v>2</v>
      </c>
      <c r="AK138" t="n">
        <v>2</v>
      </c>
      <c r="AL138" t="n">
        <v>0</v>
      </c>
      <c r="AM138" t="n">
        <v>0</v>
      </c>
      <c r="AN138" t="n">
        <v>0</v>
      </c>
      <c r="AO138" t="n">
        <v>0</v>
      </c>
      <c r="AP138" t="inlineStr">
        <is>
          <t>No</t>
        </is>
      </c>
      <c r="AQ138" t="inlineStr">
        <is>
          <t>Yes</t>
        </is>
      </c>
      <c r="AR138">
        <f>HYPERLINK("http://catalog.hathitrust.org/Record/002958003","HathiTrust Record")</f>
        <v/>
      </c>
      <c r="AS138">
        <f>HYPERLINK("https://creighton-primo.hosted.exlibrisgroup.com/primo-explore/search?tab=default_tab&amp;search_scope=EVERYTHING&amp;vid=01CRU&amp;lang=en_US&amp;offset=0&amp;query=any,contains,991001191399702656","Catalog Record")</f>
        <v/>
      </c>
      <c r="AT138">
        <f>HYPERLINK("http://www.worldcat.org/oclc/30029373","WorldCat Record")</f>
        <v/>
      </c>
      <c r="AU138" t="inlineStr">
        <is>
          <t>4160757510:eng</t>
        </is>
      </c>
      <c r="AV138" t="inlineStr">
        <is>
          <t>30029373</t>
        </is>
      </c>
      <c r="AW138" t="inlineStr">
        <is>
          <t>991001191399702656</t>
        </is>
      </c>
      <c r="AX138" t="inlineStr">
        <is>
          <t>991001191399702656</t>
        </is>
      </c>
      <c r="AY138" t="inlineStr">
        <is>
          <t>2261780350002656</t>
        </is>
      </c>
      <c r="AZ138" t="inlineStr">
        <is>
          <t>BOOK</t>
        </is>
      </c>
      <c r="BB138" t="inlineStr">
        <is>
          <t>9780199633715</t>
        </is>
      </c>
      <c r="BC138" t="inlineStr">
        <is>
          <t>30001002983395</t>
        </is>
      </c>
      <c r="BD138" t="inlineStr">
        <is>
          <t>893648961</t>
        </is>
      </c>
    </row>
    <row r="139">
      <c r="A139" t="inlineStr">
        <is>
          <t>No</t>
        </is>
      </c>
      <c r="B139" t="inlineStr">
        <is>
          <t>QU 55 G776c 1994</t>
        </is>
      </c>
      <c r="C139" t="inlineStr">
        <is>
          <t>0                      QU 0055000G  776c        1994</t>
        </is>
      </c>
      <c r="D139" t="inlineStr">
        <is>
          <t>Co- and post-translational modification of proteins : chemical principles and biological effects / Donald J. Graves, Bruce L. Martin, Jerry H. Wang.</t>
        </is>
      </c>
      <c r="F139" t="inlineStr">
        <is>
          <t>No</t>
        </is>
      </c>
      <c r="G139" t="inlineStr">
        <is>
          <t>1</t>
        </is>
      </c>
      <c r="H139" t="inlineStr">
        <is>
          <t>No</t>
        </is>
      </c>
      <c r="I139" t="inlineStr">
        <is>
          <t>No</t>
        </is>
      </c>
      <c r="J139" t="inlineStr">
        <is>
          <t>0</t>
        </is>
      </c>
      <c r="K139" t="inlineStr">
        <is>
          <t>Graves, Donald J.</t>
        </is>
      </c>
      <c r="L139" t="inlineStr">
        <is>
          <t>New York : Oxford University Press, c1994.</t>
        </is>
      </c>
      <c r="M139" t="inlineStr">
        <is>
          <t>1994</t>
        </is>
      </c>
      <c r="O139" t="inlineStr">
        <is>
          <t>eng</t>
        </is>
      </c>
      <c r="P139" t="inlineStr">
        <is>
          <t>nyu</t>
        </is>
      </c>
      <c r="R139" t="inlineStr">
        <is>
          <t xml:space="preserve">QU </t>
        </is>
      </c>
      <c r="S139" t="n">
        <v>10</v>
      </c>
      <c r="T139" t="n">
        <v>10</v>
      </c>
      <c r="U139" t="inlineStr">
        <is>
          <t>2005-09-12</t>
        </is>
      </c>
      <c r="V139" t="inlineStr">
        <is>
          <t>2005-09-12</t>
        </is>
      </c>
      <c r="W139" t="inlineStr">
        <is>
          <t>1994-07-19</t>
        </is>
      </c>
      <c r="X139" t="inlineStr">
        <is>
          <t>1994-07-19</t>
        </is>
      </c>
      <c r="Y139" t="n">
        <v>247</v>
      </c>
      <c r="Z139" t="n">
        <v>189</v>
      </c>
      <c r="AA139" t="n">
        <v>191</v>
      </c>
      <c r="AB139" t="n">
        <v>3</v>
      </c>
      <c r="AC139" t="n">
        <v>3</v>
      </c>
      <c r="AD139" t="n">
        <v>8</v>
      </c>
      <c r="AE139" t="n">
        <v>8</v>
      </c>
      <c r="AF139" t="n">
        <v>0</v>
      </c>
      <c r="AG139" t="n">
        <v>0</v>
      </c>
      <c r="AH139" t="n">
        <v>3</v>
      </c>
      <c r="AI139" t="n">
        <v>3</v>
      </c>
      <c r="AJ139" t="n">
        <v>4</v>
      </c>
      <c r="AK139" t="n">
        <v>4</v>
      </c>
      <c r="AL139" t="n">
        <v>2</v>
      </c>
      <c r="AM139" t="n">
        <v>2</v>
      </c>
      <c r="AN139" t="n">
        <v>0</v>
      </c>
      <c r="AO139" t="n">
        <v>0</v>
      </c>
      <c r="AP139" t="inlineStr">
        <is>
          <t>No</t>
        </is>
      </c>
      <c r="AQ139" t="inlineStr">
        <is>
          <t>Yes</t>
        </is>
      </c>
      <c r="AR139">
        <f>HYPERLINK("http://catalog.hathitrust.org/Record/002799494","HathiTrust Record")</f>
        <v/>
      </c>
      <c r="AS139">
        <f>HYPERLINK("https://creighton-primo.hosted.exlibrisgroup.com/primo-explore/search?tab=default_tab&amp;search_scope=EVERYTHING&amp;vid=01CRU&amp;lang=en_US&amp;offset=0&amp;query=any,contains,991001191309702656","Catalog Record")</f>
        <v/>
      </c>
      <c r="AT139">
        <f>HYPERLINK("http://www.worldcat.org/oclc/26263735","WorldCat Record")</f>
        <v/>
      </c>
      <c r="AU139" t="inlineStr">
        <is>
          <t>365299038:eng</t>
        </is>
      </c>
      <c r="AV139" t="inlineStr">
        <is>
          <t>26263735</t>
        </is>
      </c>
      <c r="AW139" t="inlineStr">
        <is>
          <t>991001191309702656</t>
        </is>
      </c>
      <c r="AX139" t="inlineStr">
        <is>
          <t>991001191309702656</t>
        </is>
      </c>
      <c r="AY139" t="inlineStr">
        <is>
          <t>2268752730002656</t>
        </is>
      </c>
      <c r="AZ139" t="inlineStr">
        <is>
          <t>BOOK</t>
        </is>
      </c>
      <c r="BB139" t="inlineStr">
        <is>
          <t>9780195055498</t>
        </is>
      </c>
      <c r="BC139" t="inlineStr">
        <is>
          <t>30001002983379</t>
        </is>
      </c>
      <c r="BD139" t="inlineStr">
        <is>
          <t>893148957</t>
        </is>
      </c>
    </row>
    <row r="140">
      <c r="A140" t="inlineStr">
        <is>
          <t>No</t>
        </is>
      </c>
      <c r="B140" t="inlineStr">
        <is>
          <t>QU 55 G946 1993</t>
        </is>
      </c>
      <c r="C140" t="inlineStr">
        <is>
          <t>0                      QU 0055000G  946         1993</t>
        </is>
      </c>
      <c r="D140" t="inlineStr">
        <is>
          <t>Guidebook to the extracellular matrix and adhesion proteins / edited by Thomas Kreis and Ronald Vale.</t>
        </is>
      </c>
      <c r="F140" t="inlineStr">
        <is>
          <t>No</t>
        </is>
      </c>
      <c r="G140" t="inlineStr">
        <is>
          <t>1</t>
        </is>
      </c>
      <c r="H140" t="inlineStr">
        <is>
          <t>No</t>
        </is>
      </c>
      <c r="I140" t="inlineStr">
        <is>
          <t>No</t>
        </is>
      </c>
      <c r="J140" t="inlineStr">
        <is>
          <t>0</t>
        </is>
      </c>
      <c r="L140" t="inlineStr">
        <is>
          <t>Oxford ; New York : Oxford University Press, c1993.</t>
        </is>
      </c>
      <c r="M140" t="inlineStr">
        <is>
          <t>1993</t>
        </is>
      </c>
      <c r="O140" t="inlineStr">
        <is>
          <t>eng</t>
        </is>
      </c>
      <c r="P140" t="inlineStr">
        <is>
          <t>enk</t>
        </is>
      </c>
      <c r="R140" t="inlineStr">
        <is>
          <t xml:space="preserve">QU </t>
        </is>
      </c>
      <c r="S140" t="n">
        <v>11</v>
      </c>
      <c r="T140" t="n">
        <v>11</v>
      </c>
      <c r="U140" t="inlineStr">
        <is>
          <t>1998-08-07</t>
        </is>
      </c>
      <c r="V140" t="inlineStr">
        <is>
          <t>1998-08-07</t>
        </is>
      </c>
      <c r="W140" t="inlineStr">
        <is>
          <t>1994-07-19</t>
        </is>
      </c>
      <c r="X140" t="inlineStr">
        <is>
          <t>1994-07-19</t>
        </is>
      </c>
      <c r="Y140" t="n">
        <v>317</v>
      </c>
      <c r="Z140" t="n">
        <v>215</v>
      </c>
      <c r="AA140" t="n">
        <v>285</v>
      </c>
      <c r="AB140" t="n">
        <v>2</v>
      </c>
      <c r="AC140" t="n">
        <v>2</v>
      </c>
      <c r="AD140" t="n">
        <v>12</v>
      </c>
      <c r="AE140" t="n">
        <v>13</v>
      </c>
      <c r="AF140" t="n">
        <v>4</v>
      </c>
      <c r="AG140" t="n">
        <v>5</v>
      </c>
      <c r="AH140" t="n">
        <v>4</v>
      </c>
      <c r="AI140" t="n">
        <v>4</v>
      </c>
      <c r="AJ140" t="n">
        <v>8</v>
      </c>
      <c r="AK140" t="n">
        <v>9</v>
      </c>
      <c r="AL140" t="n">
        <v>1</v>
      </c>
      <c r="AM140" t="n">
        <v>1</v>
      </c>
      <c r="AN140" t="n">
        <v>0</v>
      </c>
      <c r="AO140" t="n">
        <v>0</v>
      </c>
      <c r="AP140" t="inlineStr">
        <is>
          <t>No</t>
        </is>
      </c>
      <c r="AQ140" t="inlineStr">
        <is>
          <t>Yes</t>
        </is>
      </c>
      <c r="AR140">
        <f>HYPERLINK("http://catalog.hathitrust.org/Record/002726413","HathiTrust Record")</f>
        <v/>
      </c>
      <c r="AS140">
        <f>HYPERLINK("https://creighton-primo.hosted.exlibrisgroup.com/primo-explore/search?tab=default_tab&amp;search_scope=EVERYTHING&amp;vid=01CRU&amp;lang=en_US&amp;offset=0&amp;query=any,contains,991001191059702656","Catalog Record")</f>
        <v/>
      </c>
      <c r="AT140">
        <f>HYPERLINK("http://www.worldcat.org/oclc/27726992","WorldCat Record")</f>
        <v/>
      </c>
      <c r="AU140" t="inlineStr">
        <is>
          <t>350625007:eng</t>
        </is>
      </c>
      <c r="AV140" t="inlineStr">
        <is>
          <t>27726992</t>
        </is>
      </c>
      <c r="AW140" t="inlineStr">
        <is>
          <t>991001191059702656</t>
        </is>
      </c>
      <c r="AX140" t="inlineStr">
        <is>
          <t>991001191059702656</t>
        </is>
      </c>
      <c r="AY140" t="inlineStr">
        <is>
          <t>2265114200002656</t>
        </is>
      </c>
      <c r="AZ140" t="inlineStr">
        <is>
          <t>BOOK</t>
        </is>
      </c>
      <c r="BB140" t="inlineStr">
        <is>
          <t>9780198599333</t>
        </is>
      </c>
      <c r="BC140" t="inlineStr">
        <is>
          <t>30001002983338</t>
        </is>
      </c>
      <c r="BD140" t="inlineStr">
        <is>
          <t>893161754</t>
        </is>
      </c>
    </row>
    <row r="141">
      <c r="A141" t="inlineStr">
        <is>
          <t>No</t>
        </is>
      </c>
      <c r="B141" t="inlineStr">
        <is>
          <t>QU 55 H6383 1982</t>
        </is>
      </c>
      <c r="C141" t="inlineStr">
        <is>
          <t>0                      QU 0055000H  6383        1982</t>
        </is>
      </c>
      <c r="D141" t="inlineStr">
        <is>
          <t>High performance liquid chromatography of proteins and peptides : proceedings of the first international symposium / edited by Milton T.W. Hearn, Fred E. Regnier, C. Timothy Wehr.</t>
        </is>
      </c>
      <c r="F141" t="inlineStr">
        <is>
          <t>No</t>
        </is>
      </c>
      <c r="G141" t="inlineStr">
        <is>
          <t>1</t>
        </is>
      </c>
      <c r="H141" t="inlineStr">
        <is>
          <t>No</t>
        </is>
      </c>
      <c r="I141" t="inlineStr">
        <is>
          <t>No</t>
        </is>
      </c>
      <c r="J141" t="inlineStr">
        <is>
          <t>0</t>
        </is>
      </c>
      <c r="L141" t="inlineStr">
        <is>
          <t>New York : Academic Press, c1983.</t>
        </is>
      </c>
      <c r="M141" t="inlineStr">
        <is>
          <t>1983</t>
        </is>
      </c>
      <c r="O141" t="inlineStr">
        <is>
          <t>eng</t>
        </is>
      </c>
      <c r="P141" t="inlineStr">
        <is>
          <t>xxu</t>
        </is>
      </c>
      <c r="R141" t="inlineStr">
        <is>
          <t xml:space="preserve">QU </t>
        </is>
      </c>
      <c r="S141" t="n">
        <v>4</v>
      </c>
      <c r="T141" t="n">
        <v>4</v>
      </c>
      <c r="U141" t="inlineStr">
        <is>
          <t>2002-01-13</t>
        </is>
      </c>
      <c r="V141" t="inlineStr">
        <is>
          <t>2002-01-13</t>
        </is>
      </c>
      <c r="W141" t="inlineStr">
        <is>
          <t>1988-01-26</t>
        </is>
      </c>
      <c r="X141" t="inlineStr">
        <is>
          <t>1988-01-26</t>
        </is>
      </c>
      <c r="Y141" t="n">
        <v>370</v>
      </c>
      <c r="Z141" t="n">
        <v>306</v>
      </c>
      <c r="AA141" t="n">
        <v>346</v>
      </c>
      <c r="AB141" t="n">
        <v>1</v>
      </c>
      <c r="AC141" t="n">
        <v>2</v>
      </c>
      <c r="AD141" t="n">
        <v>9</v>
      </c>
      <c r="AE141" t="n">
        <v>12</v>
      </c>
      <c r="AF141" t="n">
        <v>4</v>
      </c>
      <c r="AG141" t="n">
        <v>6</v>
      </c>
      <c r="AH141" t="n">
        <v>3</v>
      </c>
      <c r="AI141" t="n">
        <v>4</v>
      </c>
      <c r="AJ141" t="n">
        <v>6</v>
      </c>
      <c r="AK141" t="n">
        <v>6</v>
      </c>
      <c r="AL141" t="n">
        <v>0</v>
      </c>
      <c r="AM141" t="n">
        <v>1</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HYPERLINK("https://creighton-primo.hosted.exlibrisgroup.com/primo-explore/search?tab=default_tab&amp;search_scope=EVERYTHING&amp;vid=01CRU&amp;lang=en_US&amp;offset=0&amp;query=any,contains,991000896969702656","Catalog Record")</f>
        <v/>
      </c>
      <c r="AT141">
        <f>HYPERLINK("http://www.worldcat.org/oclc/9393051","WorldCat Record")</f>
        <v/>
      </c>
      <c r="AU141" t="inlineStr">
        <is>
          <t>836719665:eng</t>
        </is>
      </c>
      <c r="AV141" t="inlineStr">
        <is>
          <t>9393051</t>
        </is>
      </c>
      <c r="AW141" t="inlineStr">
        <is>
          <t>991000896969702656</t>
        </is>
      </c>
      <c r="AX141" t="inlineStr">
        <is>
          <t>991000896969702656</t>
        </is>
      </c>
      <c r="AY141" t="inlineStr">
        <is>
          <t>2263555030002656</t>
        </is>
      </c>
      <c r="AZ141" t="inlineStr">
        <is>
          <t>BOOK</t>
        </is>
      </c>
      <c r="BB141" t="inlineStr">
        <is>
          <t>9780123357809</t>
        </is>
      </c>
      <c r="BC141" t="inlineStr">
        <is>
          <t>30001000157638</t>
        </is>
      </c>
      <c r="BD141" t="inlineStr">
        <is>
          <t>893743556</t>
        </is>
      </c>
    </row>
    <row r="142">
      <c r="A142" t="inlineStr">
        <is>
          <t>No</t>
        </is>
      </c>
      <c r="B142" t="inlineStr">
        <is>
          <t>QU 55 H772p 1996</t>
        </is>
      </c>
      <c r="C142" t="inlineStr">
        <is>
          <t>0                      QU 0055000H  772p        1996</t>
        </is>
      </c>
      <c r="D142" t="inlineStr">
        <is>
          <t>Protein trafficking along the exocytotic pathway / Wanjin Hong.</t>
        </is>
      </c>
      <c r="F142" t="inlineStr">
        <is>
          <t>No</t>
        </is>
      </c>
      <c r="G142" t="inlineStr">
        <is>
          <t>1</t>
        </is>
      </c>
      <c r="H142" t="inlineStr">
        <is>
          <t>No</t>
        </is>
      </c>
      <c r="I142" t="inlineStr">
        <is>
          <t>No</t>
        </is>
      </c>
      <c r="J142" t="inlineStr">
        <is>
          <t>0</t>
        </is>
      </c>
      <c r="K142" t="inlineStr">
        <is>
          <t>Hong, Wanjin.</t>
        </is>
      </c>
      <c r="L142" t="inlineStr">
        <is>
          <t>Austin : R.G. Landes Co. ; New York : North American distributor, Chapman &amp; Hall, c1996.</t>
        </is>
      </c>
      <c r="M142" t="inlineStr">
        <is>
          <t>1996</t>
        </is>
      </c>
      <c r="O142" t="inlineStr">
        <is>
          <t>eng</t>
        </is>
      </c>
      <c r="P142" t="inlineStr">
        <is>
          <t>txu</t>
        </is>
      </c>
      <c r="Q142" t="inlineStr">
        <is>
          <t>Molecular biology intelligence unit</t>
        </is>
      </c>
      <c r="R142" t="inlineStr">
        <is>
          <t xml:space="preserve">QU </t>
        </is>
      </c>
      <c r="S142" t="n">
        <v>7</v>
      </c>
      <c r="T142" t="n">
        <v>7</v>
      </c>
      <c r="U142" t="inlineStr">
        <is>
          <t>2006-04-21</t>
        </is>
      </c>
      <c r="V142" t="inlineStr">
        <is>
          <t>2006-04-21</t>
        </is>
      </c>
      <c r="W142" t="inlineStr">
        <is>
          <t>1997-06-20</t>
        </is>
      </c>
      <c r="X142" t="inlineStr">
        <is>
          <t>1997-06-20</t>
        </is>
      </c>
      <c r="Y142" t="n">
        <v>123</v>
      </c>
      <c r="Z142" t="n">
        <v>100</v>
      </c>
      <c r="AA142" t="n">
        <v>102</v>
      </c>
      <c r="AB142" t="n">
        <v>2</v>
      </c>
      <c r="AC142" t="n">
        <v>2</v>
      </c>
      <c r="AD142" t="n">
        <v>3</v>
      </c>
      <c r="AE142" t="n">
        <v>3</v>
      </c>
      <c r="AF142" t="n">
        <v>0</v>
      </c>
      <c r="AG142" t="n">
        <v>0</v>
      </c>
      <c r="AH142" t="n">
        <v>1</v>
      </c>
      <c r="AI142" t="n">
        <v>1</v>
      </c>
      <c r="AJ142" t="n">
        <v>2</v>
      </c>
      <c r="AK142" t="n">
        <v>2</v>
      </c>
      <c r="AL142" t="n">
        <v>1</v>
      </c>
      <c r="AM142" t="n">
        <v>1</v>
      </c>
      <c r="AN142" t="n">
        <v>0</v>
      </c>
      <c r="AO142" t="n">
        <v>0</v>
      </c>
      <c r="AP142" t="inlineStr">
        <is>
          <t>No</t>
        </is>
      </c>
      <c r="AQ142" t="inlineStr">
        <is>
          <t>Yes</t>
        </is>
      </c>
      <c r="AR142">
        <f>HYPERLINK("http://catalog.hathitrust.org/Record/003941441","HathiTrust Record")</f>
        <v/>
      </c>
      <c r="AS142">
        <f>HYPERLINK("https://creighton-primo.hosted.exlibrisgroup.com/primo-explore/search?tab=default_tab&amp;search_scope=EVERYTHING&amp;vid=01CRU&amp;lang=en_US&amp;offset=0&amp;query=any,contains,991001256119702656","Catalog Record")</f>
        <v/>
      </c>
      <c r="AT142">
        <f>HYPERLINK("http://www.worldcat.org/oclc/34772054","WorldCat Record")</f>
        <v/>
      </c>
      <c r="AU142" t="inlineStr">
        <is>
          <t>40048660:eng</t>
        </is>
      </c>
      <c r="AV142" t="inlineStr">
        <is>
          <t>34772054</t>
        </is>
      </c>
      <c r="AW142" t="inlineStr">
        <is>
          <t>991001256119702656</t>
        </is>
      </c>
      <c r="AX142" t="inlineStr">
        <is>
          <t>991001256119702656</t>
        </is>
      </c>
      <c r="AY142" t="inlineStr">
        <is>
          <t>2263219770002656</t>
        </is>
      </c>
      <c r="AZ142" t="inlineStr">
        <is>
          <t>BOOK</t>
        </is>
      </c>
      <c r="BB142" t="inlineStr">
        <is>
          <t>9780412110719</t>
        </is>
      </c>
      <c r="BC142" t="inlineStr">
        <is>
          <t>30001003684828</t>
        </is>
      </c>
      <c r="BD142" t="inlineStr">
        <is>
          <t>893284606</t>
        </is>
      </c>
    </row>
    <row r="143">
      <c r="A143" t="inlineStr">
        <is>
          <t>No</t>
        </is>
      </c>
      <c r="B143" t="inlineStr">
        <is>
          <t>QU 55 I33 1982 v.2</t>
        </is>
      </c>
      <c r="C143" t="inlineStr">
        <is>
          <t>0                      QU 0055000I  33          1982                                        v.2</t>
        </is>
      </c>
      <c r="D143" t="inlineStr">
        <is>
          <t>Immunochemistry of the extracellular matrix / editor, Heinz Furthmayr.</t>
        </is>
      </c>
      <c r="E143" t="inlineStr">
        <is>
          <t>V. 2</t>
        </is>
      </c>
      <c r="F143" t="inlineStr">
        <is>
          <t>Yes</t>
        </is>
      </c>
      <c r="G143" t="inlineStr">
        <is>
          <t>1</t>
        </is>
      </c>
      <c r="H143" t="inlineStr">
        <is>
          <t>No</t>
        </is>
      </c>
      <c r="I143" t="inlineStr">
        <is>
          <t>No</t>
        </is>
      </c>
      <c r="J143" t="inlineStr">
        <is>
          <t>0</t>
        </is>
      </c>
      <c r="L143" t="inlineStr">
        <is>
          <t>Boca Raton, Fla. : CRC Press, c1982-</t>
        </is>
      </c>
      <c r="M143" t="inlineStr">
        <is>
          <t>1982</t>
        </is>
      </c>
      <c r="O143" t="inlineStr">
        <is>
          <t>eng</t>
        </is>
      </c>
      <c r="P143" t="inlineStr">
        <is>
          <t>xxu</t>
        </is>
      </c>
      <c r="R143" t="inlineStr">
        <is>
          <t xml:space="preserve">QU </t>
        </is>
      </c>
      <c r="S143" t="n">
        <v>7</v>
      </c>
      <c r="T143" t="n">
        <v>12</v>
      </c>
      <c r="U143" t="inlineStr">
        <is>
          <t>2000-08-28</t>
        </is>
      </c>
      <c r="V143" t="inlineStr">
        <is>
          <t>2000-08-28</t>
        </is>
      </c>
      <c r="W143" t="inlineStr">
        <is>
          <t>1987-12-31</t>
        </is>
      </c>
      <c r="X143" t="inlineStr">
        <is>
          <t>1988-01-26</t>
        </is>
      </c>
      <c r="Y143" t="n">
        <v>163</v>
      </c>
      <c r="Z143" t="n">
        <v>122</v>
      </c>
      <c r="AA143" t="n">
        <v>157</v>
      </c>
      <c r="AB143" t="n">
        <v>2</v>
      </c>
      <c r="AC143" t="n">
        <v>2</v>
      </c>
      <c r="AD143" t="n">
        <v>2</v>
      </c>
      <c r="AE143" t="n">
        <v>2</v>
      </c>
      <c r="AF143" t="n">
        <v>0</v>
      </c>
      <c r="AG143" t="n">
        <v>0</v>
      </c>
      <c r="AH143" t="n">
        <v>0</v>
      </c>
      <c r="AI143" t="n">
        <v>0</v>
      </c>
      <c r="AJ143" t="n">
        <v>1</v>
      </c>
      <c r="AK143" t="n">
        <v>1</v>
      </c>
      <c r="AL143" t="n">
        <v>1</v>
      </c>
      <c r="AM143" t="n">
        <v>1</v>
      </c>
      <c r="AN143" t="n">
        <v>0</v>
      </c>
      <c r="AO143" t="n">
        <v>0</v>
      </c>
      <c r="AP143" t="inlineStr">
        <is>
          <t>No</t>
        </is>
      </c>
      <c r="AQ143" t="inlineStr">
        <is>
          <t>Yes</t>
        </is>
      </c>
      <c r="AR143">
        <f>HYPERLINK("http://catalog.hathitrust.org/Record/000769346","HathiTrust Record")</f>
        <v/>
      </c>
      <c r="AS143">
        <f>HYPERLINK("https://creighton-primo.hosted.exlibrisgroup.com/primo-explore/search?tab=default_tab&amp;search_scope=EVERYTHING&amp;vid=01CRU&amp;lang=en_US&amp;offset=0&amp;query=any,contains,991000897009702656","Catalog Record")</f>
        <v/>
      </c>
      <c r="AT143">
        <f>HYPERLINK("http://www.worldcat.org/oclc/7998320","WorldCat Record")</f>
        <v/>
      </c>
      <c r="AU143" t="inlineStr">
        <is>
          <t>2864599425:eng</t>
        </is>
      </c>
      <c r="AV143" t="inlineStr">
        <is>
          <t>7998320</t>
        </is>
      </c>
      <c r="AW143" t="inlineStr">
        <is>
          <t>991000897009702656</t>
        </is>
      </c>
      <c r="AX143" t="inlineStr">
        <is>
          <t>991000897009702656</t>
        </is>
      </c>
      <c r="AY143" t="inlineStr">
        <is>
          <t>2266583580002656</t>
        </is>
      </c>
      <c r="AZ143" t="inlineStr">
        <is>
          <t>BOOK</t>
        </is>
      </c>
      <c r="BC143" t="inlineStr">
        <is>
          <t>30001000157653</t>
        </is>
      </c>
      <c r="BD143" t="inlineStr">
        <is>
          <t>893148564</t>
        </is>
      </c>
    </row>
    <row r="144">
      <c r="A144" t="inlineStr">
        <is>
          <t>No</t>
        </is>
      </c>
      <c r="B144" t="inlineStr">
        <is>
          <t>QU 55 I33 1982 v.2</t>
        </is>
      </c>
      <c r="C144" t="inlineStr">
        <is>
          <t>0                      QU 0055000I  33          1982                                        v.2</t>
        </is>
      </c>
      <c r="D144" t="inlineStr">
        <is>
          <t>Immunochemistry of the extracellular matrix / editor, Heinz Furthmayr.</t>
        </is>
      </c>
      <c r="E144" t="inlineStr">
        <is>
          <t>V. 1</t>
        </is>
      </c>
      <c r="F144" t="inlineStr">
        <is>
          <t>Yes</t>
        </is>
      </c>
      <c r="G144" t="inlineStr">
        <is>
          <t>1</t>
        </is>
      </c>
      <c r="H144" t="inlineStr">
        <is>
          <t>No</t>
        </is>
      </c>
      <c r="I144" t="inlineStr">
        <is>
          <t>No</t>
        </is>
      </c>
      <c r="J144" t="inlineStr">
        <is>
          <t>0</t>
        </is>
      </c>
      <c r="L144" t="inlineStr">
        <is>
          <t>Boca Raton, Fla. : CRC Press, c1982-</t>
        </is>
      </c>
      <c r="M144" t="inlineStr">
        <is>
          <t>1982</t>
        </is>
      </c>
      <c r="O144" t="inlineStr">
        <is>
          <t>eng</t>
        </is>
      </c>
      <c r="P144" t="inlineStr">
        <is>
          <t>xxu</t>
        </is>
      </c>
      <c r="R144" t="inlineStr">
        <is>
          <t xml:space="preserve">QU </t>
        </is>
      </c>
      <c r="S144" t="n">
        <v>5</v>
      </c>
      <c r="T144" t="n">
        <v>12</v>
      </c>
      <c r="U144" t="inlineStr">
        <is>
          <t>1996-08-12</t>
        </is>
      </c>
      <c r="V144" t="inlineStr">
        <is>
          <t>2000-08-28</t>
        </is>
      </c>
      <c r="W144" t="inlineStr">
        <is>
          <t>1988-01-26</t>
        </is>
      </c>
      <c r="X144" t="inlineStr">
        <is>
          <t>1988-01-26</t>
        </is>
      </c>
      <c r="Y144" t="n">
        <v>163</v>
      </c>
      <c r="Z144" t="n">
        <v>122</v>
      </c>
      <c r="AA144" t="n">
        <v>157</v>
      </c>
      <c r="AB144" t="n">
        <v>2</v>
      </c>
      <c r="AC144" t="n">
        <v>2</v>
      </c>
      <c r="AD144" t="n">
        <v>2</v>
      </c>
      <c r="AE144" t="n">
        <v>2</v>
      </c>
      <c r="AF144" t="n">
        <v>0</v>
      </c>
      <c r="AG144" t="n">
        <v>0</v>
      </c>
      <c r="AH144" t="n">
        <v>0</v>
      </c>
      <c r="AI144" t="n">
        <v>0</v>
      </c>
      <c r="AJ144" t="n">
        <v>1</v>
      </c>
      <c r="AK144" t="n">
        <v>1</v>
      </c>
      <c r="AL144" t="n">
        <v>1</v>
      </c>
      <c r="AM144" t="n">
        <v>1</v>
      </c>
      <c r="AN144" t="n">
        <v>0</v>
      </c>
      <c r="AO144" t="n">
        <v>0</v>
      </c>
      <c r="AP144" t="inlineStr">
        <is>
          <t>No</t>
        </is>
      </c>
      <c r="AQ144" t="inlineStr">
        <is>
          <t>Yes</t>
        </is>
      </c>
      <c r="AR144">
        <f>HYPERLINK("http://catalog.hathitrust.org/Record/000769346","HathiTrust Record")</f>
        <v/>
      </c>
      <c r="AS144">
        <f>HYPERLINK("https://creighton-primo.hosted.exlibrisgroup.com/primo-explore/search?tab=default_tab&amp;search_scope=EVERYTHING&amp;vid=01CRU&amp;lang=en_US&amp;offset=0&amp;query=any,contains,991000897009702656","Catalog Record")</f>
        <v/>
      </c>
      <c r="AT144">
        <f>HYPERLINK("http://www.worldcat.org/oclc/7998320","WorldCat Record")</f>
        <v/>
      </c>
      <c r="AU144" t="inlineStr">
        <is>
          <t>2864599425:eng</t>
        </is>
      </c>
      <c r="AV144" t="inlineStr">
        <is>
          <t>7998320</t>
        </is>
      </c>
      <c r="AW144" t="inlineStr">
        <is>
          <t>991000897009702656</t>
        </is>
      </c>
      <c r="AX144" t="inlineStr">
        <is>
          <t>991000897009702656</t>
        </is>
      </c>
      <c r="AY144" t="inlineStr">
        <is>
          <t>2266583580002656</t>
        </is>
      </c>
      <c r="AZ144" t="inlineStr">
        <is>
          <t>BOOK</t>
        </is>
      </c>
      <c r="BC144" t="inlineStr">
        <is>
          <t>30001000157646</t>
        </is>
      </c>
      <c r="BD144" t="inlineStr">
        <is>
          <t>893161435</t>
        </is>
      </c>
    </row>
    <row r="145">
      <c r="A145" t="inlineStr">
        <is>
          <t>No</t>
        </is>
      </c>
      <c r="B145" t="inlineStr">
        <is>
          <t>QU 55 I61b 1991 v.1</t>
        </is>
      </c>
      <c r="C145" t="inlineStr">
        <is>
          <t>0                      QU 0055000I  61b         1991                                        v.1</t>
        </is>
      </c>
      <c r="D145" t="inlineStr">
        <is>
          <t>The Biology of nitric oxide.</t>
        </is>
      </c>
      <c r="E145" t="inlineStr">
        <is>
          <t>V.1 P1</t>
        </is>
      </c>
      <c r="F145" t="inlineStr">
        <is>
          <t>No</t>
        </is>
      </c>
      <c r="G145" t="inlineStr">
        <is>
          <t>1</t>
        </is>
      </c>
      <c r="H145" t="inlineStr">
        <is>
          <t>No</t>
        </is>
      </c>
      <c r="I145" t="inlineStr">
        <is>
          <t>No</t>
        </is>
      </c>
      <c r="J145" t="inlineStr">
        <is>
          <t>0</t>
        </is>
      </c>
      <c r="K145" t="inlineStr">
        <is>
          <t>International Meeting on the Biology of Nitric Oxide (2nd : 1991 : London, England)</t>
        </is>
      </c>
      <c r="L145" t="inlineStr">
        <is>
          <t>London : Portland Press, c1992.</t>
        </is>
      </c>
      <c r="M145" t="inlineStr">
        <is>
          <t>1992</t>
        </is>
      </c>
      <c r="O145" t="inlineStr">
        <is>
          <t>eng</t>
        </is>
      </c>
      <c r="P145" t="inlineStr">
        <is>
          <t>enk</t>
        </is>
      </c>
      <c r="R145" t="inlineStr">
        <is>
          <t xml:space="preserve">QU </t>
        </is>
      </c>
      <c r="S145" t="n">
        <v>34</v>
      </c>
      <c r="T145" t="n">
        <v>34</v>
      </c>
      <c r="U145" t="inlineStr">
        <is>
          <t>1996-08-26</t>
        </is>
      </c>
      <c r="V145" t="inlineStr">
        <is>
          <t>1996-08-26</t>
        </is>
      </c>
      <c r="W145" t="inlineStr">
        <is>
          <t>1993-02-18</t>
        </is>
      </c>
      <c r="X145" t="inlineStr">
        <is>
          <t>1993-02-18</t>
        </is>
      </c>
      <c r="Y145" t="n">
        <v>15</v>
      </c>
      <c r="Z145" t="n">
        <v>10</v>
      </c>
      <c r="AA145" t="n">
        <v>10</v>
      </c>
      <c r="AB145" t="n">
        <v>1</v>
      </c>
      <c r="AC145" t="n">
        <v>1</v>
      </c>
      <c r="AD145" t="n">
        <v>0</v>
      </c>
      <c r="AE145" t="n">
        <v>0</v>
      </c>
      <c r="AF145" t="n">
        <v>0</v>
      </c>
      <c r="AG145" t="n">
        <v>0</v>
      </c>
      <c r="AH145" t="n">
        <v>0</v>
      </c>
      <c r="AI145" t="n">
        <v>0</v>
      </c>
      <c r="AJ145" t="n">
        <v>0</v>
      </c>
      <c r="AK145" t="n">
        <v>0</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HYPERLINK("https://creighton-primo.hosted.exlibrisgroup.com/primo-explore/search?tab=default_tab&amp;search_scope=EVERYTHING&amp;vid=01CRU&amp;lang=en_US&amp;offset=0&amp;query=any,contains,991001429019702656","Catalog Record")</f>
        <v/>
      </c>
      <c r="AT145">
        <f>HYPERLINK("http://www.worldcat.org/oclc/27107143","WorldCat Record")</f>
        <v/>
      </c>
      <c r="AU145" t="inlineStr">
        <is>
          <t>5611601706:eng</t>
        </is>
      </c>
      <c r="AV145" t="inlineStr">
        <is>
          <t>27107143</t>
        </is>
      </c>
      <c r="AW145" t="inlineStr">
        <is>
          <t>991001429019702656</t>
        </is>
      </c>
      <c r="AX145" t="inlineStr">
        <is>
          <t>991001429019702656</t>
        </is>
      </c>
      <c r="AY145" t="inlineStr">
        <is>
          <t>2260976180002656</t>
        </is>
      </c>
      <c r="AZ145" t="inlineStr">
        <is>
          <t>BOOK</t>
        </is>
      </c>
      <c r="BB145" t="inlineStr">
        <is>
          <t>9781855780125</t>
        </is>
      </c>
      <c r="BC145" t="inlineStr">
        <is>
          <t>30001002528323</t>
        </is>
      </c>
      <c r="BD145" t="inlineStr">
        <is>
          <t>893826740</t>
        </is>
      </c>
    </row>
    <row r="146">
      <c r="A146" t="inlineStr">
        <is>
          <t>No</t>
        </is>
      </c>
      <c r="B146" t="inlineStr">
        <is>
          <t>QU 55 I61b 1991 v.2</t>
        </is>
      </c>
      <c r="C146" t="inlineStr">
        <is>
          <t>0                      QU 0055000I  61b         1991                                        v.2</t>
        </is>
      </c>
      <c r="D146" t="inlineStr">
        <is>
          <t>The biology of nitric oxide.</t>
        </is>
      </c>
      <c r="E146" t="inlineStr">
        <is>
          <t>V.2 P2</t>
        </is>
      </c>
      <c r="F146" t="inlineStr">
        <is>
          <t>No</t>
        </is>
      </c>
      <c r="G146" t="inlineStr">
        <is>
          <t>1</t>
        </is>
      </c>
      <c r="H146" t="inlineStr">
        <is>
          <t>No</t>
        </is>
      </c>
      <c r="I146" t="inlineStr">
        <is>
          <t>No</t>
        </is>
      </c>
      <c r="J146" t="inlineStr">
        <is>
          <t>0</t>
        </is>
      </c>
      <c r="K146" t="inlineStr">
        <is>
          <t>International Meeting on the Biology of Nitric Oxide (2nd : 1991 : London, England)</t>
        </is>
      </c>
      <c r="L146" t="inlineStr">
        <is>
          <t>London : Portland, c1992.</t>
        </is>
      </c>
      <c r="M146" t="inlineStr">
        <is>
          <t>1992</t>
        </is>
      </c>
      <c r="O146" t="inlineStr">
        <is>
          <t>eng</t>
        </is>
      </c>
      <c r="P146" t="inlineStr">
        <is>
          <t>enk</t>
        </is>
      </c>
      <c r="R146" t="inlineStr">
        <is>
          <t xml:space="preserve">QU </t>
        </is>
      </c>
      <c r="S146" t="n">
        <v>19</v>
      </c>
      <c r="T146" t="n">
        <v>19</v>
      </c>
      <c r="U146" t="inlineStr">
        <is>
          <t>1996-01-28</t>
        </is>
      </c>
      <c r="V146" t="inlineStr">
        <is>
          <t>1996-01-28</t>
        </is>
      </c>
      <c r="W146" t="inlineStr">
        <is>
          <t>1993-02-18</t>
        </is>
      </c>
      <c r="X146" t="inlineStr">
        <is>
          <t>1993-02-18</t>
        </is>
      </c>
      <c r="Y146" t="n">
        <v>66</v>
      </c>
      <c r="Z146" t="n">
        <v>44</v>
      </c>
      <c r="AA146" t="n">
        <v>49</v>
      </c>
      <c r="AB146" t="n">
        <v>1</v>
      </c>
      <c r="AC146" t="n">
        <v>1</v>
      </c>
      <c r="AD146" t="n">
        <v>1</v>
      </c>
      <c r="AE146" t="n">
        <v>1</v>
      </c>
      <c r="AF146" t="n">
        <v>0</v>
      </c>
      <c r="AG146" t="n">
        <v>0</v>
      </c>
      <c r="AH146" t="n">
        <v>1</v>
      </c>
      <c r="AI146" t="n">
        <v>1</v>
      </c>
      <c r="AJ146" t="n">
        <v>1</v>
      </c>
      <c r="AK146" t="n">
        <v>1</v>
      </c>
      <c r="AL146" t="n">
        <v>0</v>
      </c>
      <c r="AM146" t="n">
        <v>0</v>
      </c>
      <c r="AN146" t="n">
        <v>0</v>
      </c>
      <c r="AO146" t="n">
        <v>0</v>
      </c>
      <c r="AP146" t="inlineStr">
        <is>
          <t>No</t>
        </is>
      </c>
      <c r="AQ146" t="inlineStr">
        <is>
          <t>Yes</t>
        </is>
      </c>
      <c r="AR146">
        <f>HYPERLINK("http://catalog.hathitrust.org/Record/002932102","HathiTrust Record")</f>
        <v/>
      </c>
      <c r="AS146">
        <f>HYPERLINK("https://creighton-primo.hosted.exlibrisgroup.com/primo-explore/search?tab=default_tab&amp;search_scope=EVERYTHING&amp;vid=01CRU&amp;lang=en_US&amp;offset=0&amp;query=any,contains,991001429089702656","Catalog Record")</f>
        <v/>
      </c>
      <c r="AT146">
        <f>HYPERLINK("http://www.worldcat.org/oclc/29356699","WorldCat Record")</f>
        <v/>
      </c>
      <c r="AU146" t="inlineStr">
        <is>
          <t>478384699:eng</t>
        </is>
      </c>
      <c r="AV146" t="inlineStr">
        <is>
          <t>29356699</t>
        </is>
      </c>
      <c r="AW146" t="inlineStr">
        <is>
          <t>991001429089702656</t>
        </is>
      </c>
      <c r="AX146" t="inlineStr">
        <is>
          <t>991001429089702656</t>
        </is>
      </c>
      <c r="AY146" t="inlineStr">
        <is>
          <t>2264124930002656</t>
        </is>
      </c>
      <c r="AZ146" t="inlineStr">
        <is>
          <t>BOOK</t>
        </is>
      </c>
      <c r="BB146" t="inlineStr">
        <is>
          <t>9781855780132</t>
        </is>
      </c>
      <c r="BC146" t="inlineStr">
        <is>
          <t>30001002528349</t>
        </is>
      </c>
      <c r="BD146" t="inlineStr">
        <is>
          <t>893731995</t>
        </is>
      </c>
    </row>
    <row r="147">
      <c r="A147" t="inlineStr">
        <is>
          <t>No</t>
        </is>
      </c>
      <c r="B147" t="inlineStr">
        <is>
          <t>QU 55 I61p 1988</t>
        </is>
      </c>
      <c r="C147" t="inlineStr">
        <is>
          <t>0                      QU 0055000I  61p         1988</t>
        </is>
      </c>
      <c r="D147" t="inlineStr">
        <is>
          <t>Protein-dye interactions : developments and applications / edited by M.A. Vijayalakshmi and O. Bertrand.</t>
        </is>
      </c>
      <c r="F147" t="inlineStr">
        <is>
          <t>No</t>
        </is>
      </c>
      <c r="G147" t="inlineStr">
        <is>
          <t>1</t>
        </is>
      </c>
      <c r="H147" t="inlineStr">
        <is>
          <t>No</t>
        </is>
      </c>
      <c r="I147" t="inlineStr">
        <is>
          <t>No</t>
        </is>
      </c>
      <c r="J147" t="inlineStr">
        <is>
          <t>0</t>
        </is>
      </c>
      <c r="K147" t="inlineStr">
        <is>
          <t>International Conference on "Modern Aspects of Protein-Dye Interaction Role in Downstream Processing" (1st : 1988 : Compiègne, France)</t>
        </is>
      </c>
      <c r="L147" t="inlineStr">
        <is>
          <t>London ; New York : Elsevier Applied Science, c1989.</t>
        </is>
      </c>
      <c r="M147" t="inlineStr">
        <is>
          <t>1989</t>
        </is>
      </c>
      <c r="O147" t="inlineStr">
        <is>
          <t>eng</t>
        </is>
      </c>
      <c r="P147" t="inlineStr">
        <is>
          <t>enk</t>
        </is>
      </c>
      <c r="R147" t="inlineStr">
        <is>
          <t xml:space="preserve">QU </t>
        </is>
      </c>
      <c r="S147" t="n">
        <v>3</v>
      </c>
      <c r="T147" t="n">
        <v>3</v>
      </c>
      <c r="U147" t="inlineStr">
        <is>
          <t>1992-10-07</t>
        </is>
      </c>
      <c r="V147" t="inlineStr">
        <is>
          <t>1992-10-07</t>
        </is>
      </c>
      <c r="W147" t="inlineStr">
        <is>
          <t>1989-10-21</t>
        </is>
      </c>
      <c r="X147" t="inlineStr">
        <is>
          <t>1989-10-21</t>
        </is>
      </c>
      <c r="Y147" t="n">
        <v>88</v>
      </c>
      <c r="Z147" t="n">
        <v>59</v>
      </c>
      <c r="AA147" t="n">
        <v>84</v>
      </c>
      <c r="AB147" t="n">
        <v>1</v>
      </c>
      <c r="AC147" t="n">
        <v>1</v>
      </c>
      <c r="AD147" t="n">
        <v>1</v>
      </c>
      <c r="AE147" t="n">
        <v>2</v>
      </c>
      <c r="AF147" t="n">
        <v>0</v>
      </c>
      <c r="AG147" t="n">
        <v>1</v>
      </c>
      <c r="AH147" t="n">
        <v>1</v>
      </c>
      <c r="AI147" t="n">
        <v>1</v>
      </c>
      <c r="AJ147" t="n">
        <v>0</v>
      </c>
      <c r="AK147" t="n">
        <v>1</v>
      </c>
      <c r="AL147" t="n">
        <v>0</v>
      </c>
      <c r="AM147" t="n">
        <v>0</v>
      </c>
      <c r="AN147" t="n">
        <v>0</v>
      </c>
      <c r="AO147" t="n">
        <v>0</v>
      </c>
      <c r="AP147" t="inlineStr">
        <is>
          <t>No</t>
        </is>
      </c>
      <c r="AQ147" t="inlineStr">
        <is>
          <t>Yes</t>
        </is>
      </c>
      <c r="AR147">
        <f>HYPERLINK("http://catalog.hathitrust.org/Record/001541034","HathiTrust Record")</f>
        <v/>
      </c>
      <c r="AS147">
        <f>HYPERLINK("https://creighton-primo.hosted.exlibrisgroup.com/primo-explore/search?tab=default_tab&amp;search_scope=EVERYTHING&amp;vid=01CRU&amp;lang=en_US&amp;offset=0&amp;query=any,contains,991001355319702656","Catalog Record")</f>
        <v/>
      </c>
      <c r="AT147">
        <f>HYPERLINK("http://www.worldcat.org/oclc/19127535","WorldCat Record")</f>
        <v/>
      </c>
      <c r="AU147" t="inlineStr">
        <is>
          <t>836840173:eng</t>
        </is>
      </c>
      <c r="AV147" t="inlineStr">
        <is>
          <t>19127535</t>
        </is>
      </c>
      <c r="AW147" t="inlineStr">
        <is>
          <t>991001355319702656</t>
        </is>
      </c>
      <c r="AX147" t="inlineStr">
        <is>
          <t>991001355319702656</t>
        </is>
      </c>
      <c r="AY147" t="inlineStr">
        <is>
          <t>2272375050002656</t>
        </is>
      </c>
      <c r="AZ147" t="inlineStr">
        <is>
          <t>BOOK</t>
        </is>
      </c>
      <c r="BC147" t="inlineStr">
        <is>
          <t>30001001795840</t>
        </is>
      </c>
      <c r="BD147" t="inlineStr">
        <is>
          <t>893816328</t>
        </is>
      </c>
    </row>
    <row r="148">
      <c r="A148" t="inlineStr">
        <is>
          <t>No</t>
        </is>
      </c>
      <c r="B148" t="inlineStr">
        <is>
          <t>QU 55 I6738s 1986</t>
        </is>
      </c>
      <c r="C148" t="inlineStr">
        <is>
          <t>0                      QU 0055000I  6738s       1986</t>
        </is>
      </c>
      <c r="D148" t="inlineStr">
        <is>
          <t>Structure and dynamics of nucleic acids, proteins, and membranes / edited by E. Clementi and S. Chin.</t>
        </is>
      </c>
      <c r="F148" t="inlineStr">
        <is>
          <t>No</t>
        </is>
      </c>
      <c r="G148" t="inlineStr">
        <is>
          <t>1</t>
        </is>
      </c>
      <c r="H148" t="inlineStr">
        <is>
          <t>No</t>
        </is>
      </c>
      <c r="I148" t="inlineStr">
        <is>
          <t>No</t>
        </is>
      </c>
      <c r="J148" t="inlineStr">
        <is>
          <t>0</t>
        </is>
      </c>
      <c r="K148" t="inlineStr">
        <is>
          <t>International Symposium on Structure and Dynamics of Nucleic Acids, Proteins, and Membranes (1986 : Riva, Italy)</t>
        </is>
      </c>
      <c r="L148" t="inlineStr">
        <is>
          <t>New York : Plenum Press, c1987.</t>
        </is>
      </c>
      <c r="M148" t="inlineStr">
        <is>
          <t>1987</t>
        </is>
      </c>
      <c r="O148" t="inlineStr">
        <is>
          <t>eng</t>
        </is>
      </c>
      <c r="P148" t="inlineStr">
        <is>
          <t>xxu</t>
        </is>
      </c>
      <c r="R148" t="inlineStr">
        <is>
          <t xml:space="preserve">QU </t>
        </is>
      </c>
      <c r="S148" t="n">
        <v>1</v>
      </c>
      <c r="T148" t="n">
        <v>1</v>
      </c>
      <c r="U148" t="inlineStr">
        <is>
          <t>2007-12-08</t>
        </is>
      </c>
      <c r="V148" t="inlineStr">
        <is>
          <t>2007-12-08</t>
        </is>
      </c>
      <c r="W148" t="inlineStr">
        <is>
          <t>1988-01-26</t>
        </is>
      </c>
      <c r="X148" t="inlineStr">
        <is>
          <t>1988-01-26</t>
        </is>
      </c>
      <c r="Y148" t="n">
        <v>148</v>
      </c>
      <c r="Z148" t="n">
        <v>118</v>
      </c>
      <c r="AA148" t="n">
        <v>137</v>
      </c>
      <c r="AB148" t="n">
        <v>2</v>
      </c>
      <c r="AC148" t="n">
        <v>2</v>
      </c>
      <c r="AD148" t="n">
        <v>4</v>
      </c>
      <c r="AE148" t="n">
        <v>5</v>
      </c>
      <c r="AF148" t="n">
        <v>0</v>
      </c>
      <c r="AG148" t="n">
        <v>1</v>
      </c>
      <c r="AH148" t="n">
        <v>2</v>
      </c>
      <c r="AI148" t="n">
        <v>2</v>
      </c>
      <c r="AJ148" t="n">
        <v>2</v>
      </c>
      <c r="AK148" t="n">
        <v>3</v>
      </c>
      <c r="AL148" t="n">
        <v>1</v>
      </c>
      <c r="AM148" t="n">
        <v>1</v>
      </c>
      <c r="AN148" t="n">
        <v>0</v>
      </c>
      <c r="AO148" t="n">
        <v>0</v>
      </c>
      <c r="AP148" t="inlineStr">
        <is>
          <t>No</t>
        </is>
      </c>
      <c r="AQ148" t="inlineStr">
        <is>
          <t>Yes</t>
        </is>
      </c>
      <c r="AR148">
        <f>HYPERLINK("http://catalog.hathitrust.org/Record/000826237","HathiTrust Record")</f>
        <v/>
      </c>
      <c r="AS148">
        <f>HYPERLINK("https://creighton-primo.hosted.exlibrisgroup.com/primo-explore/search?tab=default_tab&amp;search_scope=EVERYTHING&amp;vid=01CRU&amp;lang=en_US&amp;offset=0&amp;query=any,contains,991001265649702656","Catalog Record")</f>
        <v/>
      </c>
      <c r="AT148">
        <f>HYPERLINK("http://www.worldcat.org/oclc/15281536","WorldCat Record")</f>
        <v/>
      </c>
      <c r="AU148" t="inlineStr">
        <is>
          <t>138576766:eng</t>
        </is>
      </c>
      <c r="AV148" t="inlineStr">
        <is>
          <t>15281536</t>
        </is>
      </c>
      <c r="AW148" t="inlineStr">
        <is>
          <t>991001265649702656</t>
        </is>
      </c>
      <c r="AX148" t="inlineStr">
        <is>
          <t>991001265649702656</t>
        </is>
      </c>
      <c r="AY148" t="inlineStr">
        <is>
          <t>2268802200002656</t>
        </is>
      </c>
      <c r="AZ148" t="inlineStr">
        <is>
          <t>BOOK</t>
        </is>
      </c>
      <c r="BB148" t="inlineStr">
        <is>
          <t>9780306425530</t>
        </is>
      </c>
      <c r="BC148" t="inlineStr">
        <is>
          <t>30001000352775</t>
        </is>
      </c>
      <c r="BD148" t="inlineStr">
        <is>
          <t>893651933</t>
        </is>
      </c>
    </row>
    <row r="149">
      <c r="A149" t="inlineStr">
        <is>
          <t>No</t>
        </is>
      </c>
      <c r="B149" t="inlineStr">
        <is>
          <t>QU 55 J65 1976</t>
        </is>
      </c>
      <c r="C149" t="inlineStr">
        <is>
          <t>0                      QU 0055000J  65          1976</t>
        </is>
      </c>
      <c r="D149" t="inlineStr">
        <is>
          <t>Structure-function relationships of proteins : proceedings of the Third John Innes Symposium held in Norwich, July 1976 / editors, Roy Markham, R.W. Horne.</t>
        </is>
      </c>
      <c r="F149" t="inlineStr">
        <is>
          <t>No</t>
        </is>
      </c>
      <c r="G149" t="inlineStr">
        <is>
          <t>1</t>
        </is>
      </c>
      <c r="H149" t="inlineStr">
        <is>
          <t>No</t>
        </is>
      </c>
      <c r="I149" t="inlineStr">
        <is>
          <t>No</t>
        </is>
      </c>
      <c r="J149" t="inlineStr">
        <is>
          <t>0</t>
        </is>
      </c>
      <c r="K149" t="inlineStr">
        <is>
          <t>John Innes Symposium (3rd : 1976 : Norwich, England)</t>
        </is>
      </c>
      <c r="L149" t="inlineStr">
        <is>
          <t>Amsterdam ; New York : North-Holland, c1976.</t>
        </is>
      </c>
      <c r="M149" t="inlineStr">
        <is>
          <t>1976</t>
        </is>
      </c>
      <c r="O149" t="inlineStr">
        <is>
          <t>eng</t>
        </is>
      </c>
      <c r="P149" t="inlineStr">
        <is>
          <t xml:space="preserve">ne </t>
        </is>
      </c>
      <c r="R149" t="inlineStr">
        <is>
          <t xml:space="preserve">QU </t>
        </is>
      </c>
      <c r="S149" t="n">
        <v>2</v>
      </c>
      <c r="T149" t="n">
        <v>2</v>
      </c>
      <c r="U149" t="inlineStr">
        <is>
          <t>2001-09-23</t>
        </is>
      </c>
      <c r="V149" t="inlineStr">
        <is>
          <t>2001-09-23</t>
        </is>
      </c>
      <c r="W149" t="inlineStr">
        <is>
          <t>1988-01-26</t>
        </is>
      </c>
      <c r="X149" t="inlineStr">
        <is>
          <t>1988-01-26</t>
        </is>
      </c>
      <c r="Y149" t="n">
        <v>174</v>
      </c>
      <c r="Z149" t="n">
        <v>110</v>
      </c>
      <c r="AA149" t="n">
        <v>112</v>
      </c>
      <c r="AB149" t="n">
        <v>3</v>
      </c>
      <c r="AC149" t="n">
        <v>3</v>
      </c>
      <c r="AD149" t="n">
        <v>2</v>
      </c>
      <c r="AE149" t="n">
        <v>2</v>
      </c>
      <c r="AF149" t="n">
        <v>0</v>
      </c>
      <c r="AG149" t="n">
        <v>0</v>
      </c>
      <c r="AH149" t="n">
        <v>0</v>
      </c>
      <c r="AI149" t="n">
        <v>0</v>
      </c>
      <c r="AJ149" t="n">
        <v>0</v>
      </c>
      <c r="AK149" t="n">
        <v>0</v>
      </c>
      <c r="AL149" t="n">
        <v>2</v>
      </c>
      <c r="AM149" t="n">
        <v>2</v>
      </c>
      <c r="AN149" t="n">
        <v>0</v>
      </c>
      <c r="AO149" t="n">
        <v>0</v>
      </c>
      <c r="AP149" t="inlineStr">
        <is>
          <t>No</t>
        </is>
      </c>
      <c r="AQ149" t="inlineStr">
        <is>
          <t>Yes</t>
        </is>
      </c>
      <c r="AR149">
        <f>HYPERLINK("http://catalog.hathitrust.org/Record/007972719","HathiTrust Record")</f>
        <v/>
      </c>
      <c r="AS149">
        <f>HYPERLINK("https://creighton-primo.hosted.exlibrisgroup.com/primo-explore/search?tab=default_tab&amp;search_scope=EVERYTHING&amp;vid=01CRU&amp;lang=en_US&amp;offset=0&amp;query=any,contains,991000897219702656","Catalog Record")</f>
        <v/>
      </c>
      <c r="AT149">
        <f>HYPERLINK("http://www.worldcat.org/oclc/3362475","WorldCat Record")</f>
        <v/>
      </c>
      <c r="AU149" t="inlineStr">
        <is>
          <t>909579555:eng</t>
        </is>
      </c>
      <c r="AV149" t="inlineStr">
        <is>
          <t>3362475</t>
        </is>
      </c>
      <c r="AW149" t="inlineStr">
        <is>
          <t>991000897219702656</t>
        </is>
      </c>
      <c r="AX149" t="inlineStr">
        <is>
          <t>991000897219702656</t>
        </is>
      </c>
      <c r="AY149" t="inlineStr">
        <is>
          <t>2256901150002656</t>
        </is>
      </c>
      <c r="AZ149" t="inlineStr">
        <is>
          <t>BOOK</t>
        </is>
      </c>
      <c r="BB149" t="inlineStr">
        <is>
          <t>9780720406139</t>
        </is>
      </c>
      <c r="BC149" t="inlineStr">
        <is>
          <t>30001000157794</t>
        </is>
      </c>
      <c r="BD149" t="inlineStr">
        <is>
          <t>893363511</t>
        </is>
      </c>
    </row>
    <row r="150">
      <c r="A150" t="inlineStr">
        <is>
          <t>No</t>
        </is>
      </c>
      <c r="B150" t="inlineStr">
        <is>
          <t>QU 55 J65p 1988</t>
        </is>
      </c>
      <c r="C150" t="inlineStr">
        <is>
          <t>0                      QU 0055000J  65p         1988</t>
        </is>
      </c>
      <c r="D150" t="inlineStr">
        <is>
          <t>Protein targeting : proceedings of the eighth John Innes Symposium, Norwich, 1988 / edited by K.F. Chater ... [et al.].</t>
        </is>
      </c>
      <c r="F150" t="inlineStr">
        <is>
          <t>No</t>
        </is>
      </c>
      <c r="G150" t="inlineStr">
        <is>
          <t>1</t>
        </is>
      </c>
      <c r="H150" t="inlineStr">
        <is>
          <t>No</t>
        </is>
      </c>
      <c r="I150" t="inlineStr">
        <is>
          <t>No</t>
        </is>
      </c>
      <c r="J150" t="inlineStr">
        <is>
          <t>0</t>
        </is>
      </c>
      <c r="K150" t="inlineStr">
        <is>
          <t>John Innes Symposium (8th : 1988 : Norwich, England)</t>
        </is>
      </c>
      <c r="L150" t="inlineStr">
        <is>
          <t>Cambridge [Eng.] : Company of Biologists, c1989.</t>
        </is>
      </c>
      <c r="M150" t="inlineStr">
        <is>
          <t>1989</t>
        </is>
      </c>
      <c r="O150" t="inlineStr">
        <is>
          <t>eng</t>
        </is>
      </c>
      <c r="P150" t="inlineStr">
        <is>
          <t>enk</t>
        </is>
      </c>
      <c r="Q150" t="inlineStr">
        <is>
          <t>Journal of cell science. Supplement ; 11</t>
        </is>
      </c>
      <c r="R150" t="inlineStr">
        <is>
          <t xml:space="preserve">QU </t>
        </is>
      </c>
      <c r="S150" t="n">
        <v>3</v>
      </c>
      <c r="T150" t="n">
        <v>3</v>
      </c>
      <c r="U150" t="inlineStr">
        <is>
          <t>2001-09-23</t>
        </is>
      </c>
      <c r="V150" t="inlineStr">
        <is>
          <t>2001-09-23</t>
        </is>
      </c>
      <c r="W150" t="inlineStr">
        <is>
          <t>1989-10-13</t>
        </is>
      </c>
      <c r="X150" t="inlineStr">
        <is>
          <t>1989-10-13</t>
        </is>
      </c>
      <c r="Y150" t="n">
        <v>451</v>
      </c>
      <c r="Z150" t="n">
        <v>332</v>
      </c>
      <c r="AA150" t="n">
        <v>340</v>
      </c>
      <c r="AB150" t="n">
        <v>2</v>
      </c>
      <c r="AC150" t="n">
        <v>2</v>
      </c>
      <c r="AD150" t="n">
        <v>13</v>
      </c>
      <c r="AE150" t="n">
        <v>13</v>
      </c>
      <c r="AF150" t="n">
        <v>5</v>
      </c>
      <c r="AG150" t="n">
        <v>5</v>
      </c>
      <c r="AH150" t="n">
        <v>3</v>
      </c>
      <c r="AI150" t="n">
        <v>3</v>
      </c>
      <c r="AJ150" t="n">
        <v>7</v>
      </c>
      <c r="AK150" t="n">
        <v>7</v>
      </c>
      <c r="AL150" t="n">
        <v>1</v>
      </c>
      <c r="AM150" t="n">
        <v>1</v>
      </c>
      <c r="AN150" t="n">
        <v>0</v>
      </c>
      <c r="AO150" t="n">
        <v>0</v>
      </c>
      <c r="AP150" t="inlineStr">
        <is>
          <t>No</t>
        </is>
      </c>
      <c r="AQ150" t="inlineStr">
        <is>
          <t>Yes</t>
        </is>
      </c>
      <c r="AR150">
        <f>HYPERLINK("http://catalog.hathitrust.org/Record/001546220","HathiTrust Record")</f>
        <v/>
      </c>
      <c r="AS150">
        <f>HYPERLINK("https://creighton-primo.hosted.exlibrisgroup.com/primo-explore/search?tab=default_tab&amp;search_scope=EVERYTHING&amp;vid=01CRU&amp;lang=en_US&amp;offset=0&amp;query=any,contains,991001353459702656","Catalog Record")</f>
        <v/>
      </c>
      <c r="AT150">
        <f>HYPERLINK("http://www.worldcat.org/oclc/22547829","WorldCat Record")</f>
        <v/>
      </c>
      <c r="AU150" t="inlineStr">
        <is>
          <t>24672857:eng</t>
        </is>
      </c>
      <c r="AV150" t="inlineStr">
        <is>
          <t>22547829</t>
        </is>
      </c>
      <c r="AW150" t="inlineStr">
        <is>
          <t>991001353459702656</t>
        </is>
      </c>
      <c r="AX150" t="inlineStr">
        <is>
          <t>991001353459702656</t>
        </is>
      </c>
      <c r="AY150" t="inlineStr">
        <is>
          <t>2256543490002656</t>
        </is>
      </c>
      <c r="AZ150" t="inlineStr">
        <is>
          <t>BOOK</t>
        </is>
      </c>
      <c r="BB150" t="inlineStr">
        <is>
          <t>9780948601217</t>
        </is>
      </c>
      <c r="BC150" t="inlineStr">
        <is>
          <t>30001001795253</t>
        </is>
      </c>
      <c r="BD150" t="inlineStr">
        <is>
          <t>893358503</t>
        </is>
      </c>
    </row>
    <row r="151">
      <c r="A151" t="inlineStr">
        <is>
          <t>No</t>
        </is>
      </c>
      <c r="B151" t="inlineStr">
        <is>
          <t>QU 55 K99m 1995</t>
        </is>
      </c>
      <c r="C151" t="inlineStr">
        <is>
          <t>0                      QU 0055000K  99m         1995</t>
        </is>
      </c>
      <c r="D151" t="inlineStr">
        <is>
          <t>Mechanism in protein chemistry / Jack Kyte.</t>
        </is>
      </c>
      <c r="F151" t="inlineStr">
        <is>
          <t>No</t>
        </is>
      </c>
      <c r="G151" t="inlineStr">
        <is>
          <t>1</t>
        </is>
      </c>
      <c r="H151" t="inlineStr">
        <is>
          <t>No</t>
        </is>
      </c>
      <c r="I151" t="inlineStr">
        <is>
          <t>No</t>
        </is>
      </c>
      <c r="J151" t="inlineStr">
        <is>
          <t>0</t>
        </is>
      </c>
      <c r="K151" t="inlineStr">
        <is>
          <t>Kyte, Jack.</t>
        </is>
      </c>
      <c r="L151" t="inlineStr">
        <is>
          <t>New York : Garland Pub., c1995.</t>
        </is>
      </c>
      <c r="M151" t="inlineStr">
        <is>
          <t>1995</t>
        </is>
      </c>
      <c r="O151" t="inlineStr">
        <is>
          <t>eng</t>
        </is>
      </c>
      <c r="P151" t="inlineStr">
        <is>
          <t>nyu</t>
        </is>
      </c>
      <c r="R151" t="inlineStr">
        <is>
          <t xml:space="preserve">QU </t>
        </is>
      </c>
      <c r="S151" t="n">
        <v>6</v>
      </c>
      <c r="T151" t="n">
        <v>6</v>
      </c>
      <c r="U151" t="inlineStr">
        <is>
          <t>2006-09-15</t>
        </is>
      </c>
      <c r="V151" t="inlineStr">
        <is>
          <t>2006-09-15</t>
        </is>
      </c>
      <c r="W151" t="inlineStr">
        <is>
          <t>1995-10-10</t>
        </is>
      </c>
      <c r="X151" t="inlineStr">
        <is>
          <t>1995-10-10</t>
        </is>
      </c>
      <c r="Y151" t="n">
        <v>393</v>
      </c>
      <c r="Z151" t="n">
        <v>286</v>
      </c>
      <c r="AA151" t="n">
        <v>286</v>
      </c>
      <c r="AB151" t="n">
        <v>4</v>
      </c>
      <c r="AC151" t="n">
        <v>4</v>
      </c>
      <c r="AD151" t="n">
        <v>13</v>
      </c>
      <c r="AE151" t="n">
        <v>13</v>
      </c>
      <c r="AF151" t="n">
        <v>3</v>
      </c>
      <c r="AG151" t="n">
        <v>3</v>
      </c>
      <c r="AH151" t="n">
        <v>3</v>
      </c>
      <c r="AI151" t="n">
        <v>3</v>
      </c>
      <c r="AJ151" t="n">
        <v>6</v>
      </c>
      <c r="AK151" t="n">
        <v>6</v>
      </c>
      <c r="AL151" t="n">
        <v>3</v>
      </c>
      <c r="AM151" t="n">
        <v>3</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HYPERLINK("https://creighton-primo.hosted.exlibrisgroup.com/primo-explore/search?tab=default_tab&amp;search_scope=EVERYTHING&amp;vid=01CRU&amp;lang=en_US&amp;offset=0&amp;query=any,contains,991001494499702656","Catalog Record")</f>
        <v/>
      </c>
      <c r="AT151">
        <f>HYPERLINK("http://www.worldcat.org/oclc/32666458","WorldCat Record")</f>
        <v/>
      </c>
      <c r="AU151" t="inlineStr">
        <is>
          <t>36584624:eng</t>
        </is>
      </c>
      <c r="AV151" t="inlineStr">
        <is>
          <t>32666458</t>
        </is>
      </c>
      <c r="AW151" t="inlineStr">
        <is>
          <t>991001494499702656</t>
        </is>
      </c>
      <c r="AX151" t="inlineStr">
        <is>
          <t>991001494499702656</t>
        </is>
      </c>
      <c r="AY151" t="inlineStr">
        <is>
          <t>2265161960002656</t>
        </is>
      </c>
      <c r="AZ151" t="inlineStr">
        <is>
          <t>BOOK</t>
        </is>
      </c>
      <c r="BB151" t="inlineStr">
        <is>
          <t>9780815317005</t>
        </is>
      </c>
      <c r="BC151" t="inlineStr">
        <is>
          <t>30001003261155</t>
        </is>
      </c>
      <c r="BD151" t="inlineStr">
        <is>
          <t>893638389</t>
        </is>
      </c>
    </row>
    <row r="152">
      <c r="A152" t="inlineStr">
        <is>
          <t>No</t>
        </is>
      </c>
      <c r="B152" t="inlineStr">
        <is>
          <t>QU 55 L962t 1995</t>
        </is>
      </c>
      <c r="C152" t="inlineStr">
        <is>
          <t>0                      QU 0055000L  962t        1995</t>
        </is>
      </c>
      <c r="D152" t="inlineStr">
        <is>
          <t>Techniques in protein modification / by Roger L. Lundblad.</t>
        </is>
      </c>
      <c r="F152" t="inlineStr">
        <is>
          <t>No</t>
        </is>
      </c>
      <c r="G152" t="inlineStr">
        <is>
          <t>1</t>
        </is>
      </c>
      <c r="H152" t="inlineStr">
        <is>
          <t>No</t>
        </is>
      </c>
      <c r="I152" t="inlineStr">
        <is>
          <t>No</t>
        </is>
      </c>
      <c r="J152" t="inlineStr">
        <is>
          <t>0</t>
        </is>
      </c>
      <c r="K152" t="inlineStr">
        <is>
          <t>Lundblad, Roger L.</t>
        </is>
      </c>
      <c r="L152" t="inlineStr">
        <is>
          <t>Boca Raton, FL : CRC Press, c1994.</t>
        </is>
      </c>
      <c r="M152" t="inlineStr">
        <is>
          <t>1995</t>
        </is>
      </c>
      <c r="O152" t="inlineStr">
        <is>
          <t>eng</t>
        </is>
      </c>
      <c r="P152" t="inlineStr">
        <is>
          <t>flu</t>
        </is>
      </c>
      <c r="R152" t="inlineStr">
        <is>
          <t xml:space="preserve">QU </t>
        </is>
      </c>
      <c r="S152" t="n">
        <v>10</v>
      </c>
      <c r="T152" t="n">
        <v>10</v>
      </c>
      <c r="U152" t="inlineStr">
        <is>
          <t>1997-11-11</t>
        </is>
      </c>
      <c r="V152" t="inlineStr">
        <is>
          <t>1997-11-11</t>
        </is>
      </c>
      <c r="W152" t="inlineStr">
        <is>
          <t>1994-12-02</t>
        </is>
      </c>
      <c r="X152" t="inlineStr">
        <is>
          <t>1994-12-02</t>
        </is>
      </c>
      <c r="Y152" t="n">
        <v>312</v>
      </c>
      <c r="Z152" t="n">
        <v>245</v>
      </c>
      <c r="AA152" t="n">
        <v>245</v>
      </c>
      <c r="AB152" t="n">
        <v>2</v>
      </c>
      <c r="AC152" t="n">
        <v>2</v>
      </c>
      <c r="AD152" t="n">
        <v>9</v>
      </c>
      <c r="AE152" t="n">
        <v>9</v>
      </c>
      <c r="AF152" t="n">
        <v>4</v>
      </c>
      <c r="AG152" t="n">
        <v>4</v>
      </c>
      <c r="AH152" t="n">
        <v>4</v>
      </c>
      <c r="AI152" t="n">
        <v>4</v>
      </c>
      <c r="AJ152" t="n">
        <v>3</v>
      </c>
      <c r="AK152" t="n">
        <v>3</v>
      </c>
      <c r="AL152" t="n">
        <v>1</v>
      </c>
      <c r="AM152" t="n">
        <v>1</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HYPERLINK("https://creighton-primo.hosted.exlibrisgroup.com/primo-explore/search?tab=default_tab&amp;search_scope=EVERYTHING&amp;vid=01CRU&amp;lang=en_US&amp;offset=0&amp;query=any,contains,991000682519702656","Catalog Record")</f>
        <v/>
      </c>
      <c r="AT152">
        <f>HYPERLINK("http://www.worldcat.org/oclc/30074448","WorldCat Record")</f>
        <v/>
      </c>
      <c r="AU152" t="inlineStr">
        <is>
          <t>32135699:eng</t>
        </is>
      </c>
      <c r="AV152" t="inlineStr">
        <is>
          <t>30074448</t>
        </is>
      </c>
      <c r="AW152" t="inlineStr">
        <is>
          <t>991000682519702656</t>
        </is>
      </c>
      <c r="AX152" t="inlineStr">
        <is>
          <t>991000682519702656</t>
        </is>
      </c>
      <c r="AY152" t="inlineStr">
        <is>
          <t>2258326290002656</t>
        </is>
      </c>
      <c r="AZ152" t="inlineStr">
        <is>
          <t>BOOK</t>
        </is>
      </c>
      <c r="BB152" t="inlineStr">
        <is>
          <t>9780849326066</t>
        </is>
      </c>
      <c r="BC152" t="inlineStr">
        <is>
          <t>30001002697979</t>
        </is>
      </c>
      <c r="BD152" t="inlineStr">
        <is>
          <t>893459683</t>
        </is>
      </c>
    </row>
    <row r="153">
      <c r="A153" t="inlineStr">
        <is>
          <t>No</t>
        </is>
      </c>
      <c r="B153" t="inlineStr">
        <is>
          <t>QU 55 M265 1977</t>
        </is>
      </c>
      <c r="C153" t="inlineStr">
        <is>
          <t>0                      QU 0055000M  265         1977</t>
        </is>
      </c>
      <c r="D153" t="inlineStr">
        <is>
          <t>Mammalian glycoproteins and glycolipids / edited by Martin I. Horowitz, Ward Pigman.</t>
        </is>
      </c>
      <c r="F153" t="inlineStr">
        <is>
          <t>No</t>
        </is>
      </c>
      <c r="G153" t="inlineStr">
        <is>
          <t>1</t>
        </is>
      </c>
      <c r="H153" t="inlineStr">
        <is>
          <t>No</t>
        </is>
      </c>
      <c r="I153" t="inlineStr">
        <is>
          <t>No</t>
        </is>
      </c>
      <c r="J153" t="inlineStr">
        <is>
          <t>0</t>
        </is>
      </c>
      <c r="L153" t="inlineStr">
        <is>
          <t>-- New York : Academic Press, 1977-</t>
        </is>
      </c>
      <c r="M153" t="inlineStr">
        <is>
          <t>1977</t>
        </is>
      </c>
      <c r="O153" t="inlineStr">
        <is>
          <t>eng</t>
        </is>
      </c>
      <c r="P153" t="inlineStr">
        <is>
          <t>nyu</t>
        </is>
      </c>
      <c r="Q153" t="inlineStr">
        <is>
          <t>The Glycoconjugates ; v. 1</t>
        </is>
      </c>
      <c r="R153" t="inlineStr">
        <is>
          <t xml:space="preserve">QU </t>
        </is>
      </c>
      <c r="S153" t="n">
        <v>6</v>
      </c>
      <c r="T153" t="n">
        <v>6</v>
      </c>
      <c r="U153" t="inlineStr">
        <is>
          <t>2000-08-01</t>
        </is>
      </c>
      <c r="V153" t="inlineStr">
        <is>
          <t>2000-08-01</t>
        </is>
      </c>
      <c r="W153" t="inlineStr">
        <is>
          <t>1988-01-26</t>
        </is>
      </c>
      <c r="X153" t="inlineStr">
        <is>
          <t>1988-01-26</t>
        </is>
      </c>
      <c r="Y153" t="n">
        <v>127</v>
      </c>
      <c r="Z153" t="n">
        <v>102</v>
      </c>
      <c r="AA153" t="n">
        <v>149</v>
      </c>
      <c r="AB153" t="n">
        <v>1</v>
      </c>
      <c r="AC153" t="n">
        <v>2</v>
      </c>
      <c r="AD153" t="n">
        <v>3</v>
      </c>
      <c r="AE153" t="n">
        <v>8</v>
      </c>
      <c r="AF153" t="n">
        <v>1</v>
      </c>
      <c r="AG153" t="n">
        <v>4</v>
      </c>
      <c r="AH153" t="n">
        <v>2</v>
      </c>
      <c r="AI153" t="n">
        <v>4</v>
      </c>
      <c r="AJ153" t="n">
        <v>2</v>
      </c>
      <c r="AK153" t="n">
        <v>3</v>
      </c>
      <c r="AL153" t="n">
        <v>0</v>
      </c>
      <c r="AM153" t="n">
        <v>1</v>
      </c>
      <c r="AN153" t="n">
        <v>0</v>
      </c>
      <c r="AO153" t="n">
        <v>0</v>
      </c>
      <c r="AP153" t="inlineStr">
        <is>
          <t>No</t>
        </is>
      </c>
      <c r="AQ153" t="inlineStr">
        <is>
          <t>Yes</t>
        </is>
      </c>
      <c r="AR153">
        <f>HYPERLINK("http://catalog.hathitrust.org/Record/008990292","HathiTrust Record")</f>
        <v/>
      </c>
      <c r="AS153">
        <f>HYPERLINK("https://creighton-primo.hosted.exlibrisgroup.com/primo-explore/search?tab=default_tab&amp;search_scope=EVERYTHING&amp;vid=01CRU&amp;lang=en_US&amp;offset=0&amp;query=any,contains,991000897339702656","Catalog Record")</f>
        <v/>
      </c>
      <c r="AT153">
        <f>HYPERLINK("http://www.worldcat.org/oclc/3637139","WorldCat Record")</f>
        <v/>
      </c>
      <c r="AU153" t="inlineStr">
        <is>
          <t>11929361:eng</t>
        </is>
      </c>
      <c r="AV153" t="inlineStr">
        <is>
          <t>3637139</t>
        </is>
      </c>
      <c r="AW153" t="inlineStr">
        <is>
          <t>991000897339702656</t>
        </is>
      </c>
      <c r="AX153" t="inlineStr">
        <is>
          <t>991000897339702656</t>
        </is>
      </c>
      <c r="AY153" t="inlineStr">
        <is>
          <t>2262451320002656</t>
        </is>
      </c>
      <c r="AZ153" t="inlineStr">
        <is>
          <t>BOOK</t>
        </is>
      </c>
      <c r="BC153" t="inlineStr">
        <is>
          <t>30001000157877</t>
        </is>
      </c>
      <c r="BD153" t="inlineStr">
        <is>
          <t>893455252</t>
        </is>
      </c>
    </row>
    <row r="154">
      <c r="A154" t="inlineStr">
        <is>
          <t>No</t>
        </is>
      </c>
      <c r="B154" t="inlineStr">
        <is>
          <t>QU 55 M438p 1991</t>
        </is>
      </c>
      <c r="C154" t="inlineStr">
        <is>
          <t>0                      QU 0055000M  438p        1991</t>
        </is>
      </c>
      <c r="D154" t="inlineStr">
        <is>
          <t>Protein absorption : development and present state of the subject / David M. Matthews.</t>
        </is>
      </c>
      <c r="F154" t="inlineStr">
        <is>
          <t>No</t>
        </is>
      </c>
      <c r="G154" t="inlineStr">
        <is>
          <t>1</t>
        </is>
      </c>
      <c r="H154" t="inlineStr">
        <is>
          <t>No</t>
        </is>
      </c>
      <c r="I154" t="inlineStr">
        <is>
          <t>No</t>
        </is>
      </c>
      <c r="J154" t="inlineStr">
        <is>
          <t>0</t>
        </is>
      </c>
      <c r="K154" t="inlineStr">
        <is>
          <t>Matthews, David M. (David Morling)</t>
        </is>
      </c>
      <c r="L154" t="inlineStr">
        <is>
          <t>New York : Wiley-Liss, c1991.</t>
        </is>
      </c>
      <c r="M154" t="inlineStr">
        <is>
          <t>1991</t>
        </is>
      </c>
      <c r="O154" t="inlineStr">
        <is>
          <t>eng</t>
        </is>
      </c>
      <c r="P154" t="inlineStr">
        <is>
          <t>nyu</t>
        </is>
      </c>
      <c r="R154" t="inlineStr">
        <is>
          <t xml:space="preserve">QU </t>
        </is>
      </c>
      <c r="S154" t="n">
        <v>5</v>
      </c>
      <c r="T154" t="n">
        <v>5</v>
      </c>
      <c r="U154" t="inlineStr">
        <is>
          <t>1991-10-28</t>
        </is>
      </c>
      <c r="V154" t="inlineStr">
        <is>
          <t>1991-10-28</t>
        </is>
      </c>
      <c r="W154" t="inlineStr">
        <is>
          <t>1991-09-13</t>
        </is>
      </c>
      <c r="X154" t="inlineStr">
        <is>
          <t>1991-09-13</t>
        </is>
      </c>
      <c r="Y154" t="n">
        <v>137</v>
      </c>
      <c r="Z154" t="n">
        <v>97</v>
      </c>
      <c r="AA154" t="n">
        <v>99</v>
      </c>
      <c r="AB154" t="n">
        <v>1</v>
      </c>
      <c r="AC154" t="n">
        <v>1</v>
      </c>
      <c r="AD154" t="n">
        <v>0</v>
      </c>
      <c r="AE154" t="n">
        <v>0</v>
      </c>
      <c r="AF154" t="n">
        <v>0</v>
      </c>
      <c r="AG154" t="n">
        <v>0</v>
      </c>
      <c r="AH154" t="n">
        <v>0</v>
      </c>
      <c r="AI154" t="n">
        <v>0</v>
      </c>
      <c r="AJ154" t="n">
        <v>0</v>
      </c>
      <c r="AK154" t="n">
        <v>0</v>
      </c>
      <c r="AL154" t="n">
        <v>0</v>
      </c>
      <c r="AM154" t="n">
        <v>0</v>
      </c>
      <c r="AN154" t="n">
        <v>0</v>
      </c>
      <c r="AO154" t="n">
        <v>0</v>
      </c>
      <c r="AP154" t="inlineStr">
        <is>
          <t>No</t>
        </is>
      </c>
      <c r="AQ154" t="inlineStr">
        <is>
          <t>Yes</t>
        </is>
      </c>
      <c r="AR154">
        <f>HYPERLINK("http://catalog.hathitrust.org/Record/002458089","HathiTrust Record")</f>
        <v/>
      </c>
      <c r="AS154">
        <f>HYPERLINK("https://creighton-primo.hosted.exlibrisgroup.com/primo-explore/search?tab=default_tab&amp;search_scope=EVERYTHING&amp;vid=01CRU&amp;lang=en_US&amp;offset=0&amp;query=any,contains,991001014419702656","Catalog Record")</f>
        <v/>
      </c>
      <c r="AT154">
        <f>HYPERLINK("http://www.worldcat.org/oclc/21871695","WorldCat Record")</f>
        <v/>
      </c>
      <c r="AU154" t="inlineStr">
        <is>
          <t>226702166:eng</t>
        </is>
      </c>
      <c r="AV154" t="inlineStr">
        <is>
          <t>21871695</t>
        </is>
      </c>
      <c r="AW154" t="inlineStr">
        <is>
          <t>991001014419702656</t>
        </is>
      </c>
      <c r="AX154" t="inlineStr">
        <is>
          <t>991001014419702656</t>
        </is>
      </c>
      <c r="AY154" t="inlineStr">
        <is>
          <t>2269825820002656</t>
        </is>
      </c>
      <c r="AZ154" t="inlineStr">
        <is>
          <t>BOOK</t>
        </is>
      </c>
      <c r="BB154" t="inlineStr">
        <is>
          <t>9780471568513</t>
        </is>
      </c>
      <c r="BC154" t="inlineStr">
        <is>
          <t>30001002240465</t>
        </is>
      </c>
      <c r="BD154" t="inlineStr">
        <is>
          <t>893834526</t>
        </is>
      </c>
    </row>
    <row r="155">
      <c r="A155" t="inlineStr">
        <is>
          <t>No</t>
        </is>
      </c>
      <c r="B155" t="inlineStr">
        <is>
          <t>QU 55 M486 1994</t>
        </is>
      </c>
      <c r="C155" t="inlineStr">
        <is>
          <t>0                      QU 0055000M  486         1994</t>
        </is>
      </c>
      <c r="D155" t="inlineStr">
        <is>
          <t>Mechanisms of protein folding / edited by Roger H. Pain.</t>
        </is>
      </c>
      <c r="F155" t="inlineStr">
        <is>
          <t>No</t>
        </is>
      </c>
      <c r="G155" t="inlineStr">
        <is>
          <t>1</t>
        </is>
      </c>
      <c r="H155" t="inlineStr">
        <is>
          <t>No</t>
        </is>
      </c>
      <c r="I155" t="inlineStr">
        <is>
          <t>No</t>
        </is>
      </c>
      <c r="J155" t="inlineStr">
        <is>
          <t>0</t>
        </is>
      </c>
      <c r="L155" t="inlineStr">
        <is>
          <t>Oxford ; New York : IRL Press, c1994.</t>
        </is>
      </c>
      <c r="M155" t="inlineStr">
        <is>
          <t>1994</t>
        </is>
      </c>
      <c r="O155" t="inlineStr">
        <is>
          <t>eng</t>
        </is>
      </c>
      <c r="P155" t="inlineStr">
        <is>
          <t>enk</t>
        </is>
      </c>
      <c r="Q155" t="inlineStr">
        <is>
          <t>Frontiers in molecular biology</t>
        </is>
      </c>
      <c r="R155" t="inlineStr">
        <is>
          <t xml:space="preserve">QU </t>
        </is>
      </c>
      <c r="S155" t="n">
        <v>14</v>
      </c>
      <c r="T155" t="n">
        <v>14</v>
      </c>
      <c r="U155" t="inlineStr">
        <is>
          <t>2001-10-09</t>
        </is>
      </c>
      <c r="V155" t="inlineStr">
        <is>
          <t>2001-10-09</t>
        </is>
      </c>
      <c r="W155" t="inlineStr">
        <is>
          <t>1994-07-19</t>
        </is>
      </c>
      <c r="X155" t="inlineStr">
        <is>
          <t>1994-07-19</t>
        </is>
      </c>
      <c r="Y155" t="n">
        <v>407</v>
      </c>
      <c r="Z155" t="n">
        <v>304</v>
      </c>
      <c r="AA155" t="n">
        <v>402</v>
      </c>
      <c r="AB155" t="n">
        <v>2</v>
      </c>
      <c r="AC155" t="n">
        <v>2</v>
      </c>
      <c r="AD155" t="n">
        <v>17</v>
      </c>
      <c r="AE155" t="n">
        <v>21</v>
      </c>
      <c r="AF155" t="n">
        <v>6</v>
      </c>
      <c r="AG155" t="n">
        <v>7</v>
      </c>
      <c r="AH155" t="n">
        <v>7</v>
      </c>
      <c r="AI155" t="n">
        <v>8</v>
      </c>
      <c r="AJ155" t="n">
        <v>9</v>
      </c>
      <c r="AK155" t="n">
        <v>11</v>
      </c>
      <c r="AL155" t="n">
        <v>1</v>
      </c>
      <c r="AM155" t="n">
        <v>1</v>
      </c>
      <c r="AN155" t="n">
        <v>0</v>
      </c>
      <c r="AO155" t="n">
        <v>0</v>
      </c>
      <c r="AP155" t="inlineStr">
        <is>
          <t>No</t>
        </is>
      </c>
      <c r="AQ155" t="inlineStr">
        <is>
          <t>Yes</t>
        </is>
      </c>
      <c r="AR155">
        <f>HYPERLINK("http://catalog.hathitrust.org/Record/002865478","HathiTrust Record")</f>
        <v/>
      </c>
      <c r="AS155">
        <f>HYPERLINK("https://creighton-primo.hosted.exlibrisgroup.com/primo-explore/search?tab=default_tab&amp;search_scope=EVERYTHING&amp;vid=01CRU&amp;lang=en_US&amp;offset=0&amp;query=any,contains,991001191279702656","Catalog Record")</f>
        <v/>
      </c>
      <c r="AT155">
        <f>HYPERLINK("http://www.worldcat.org/oclc/29595367","WorldCat Record")</f>
        <v/>
      </c>
      <c r="AU155" t="inlineStr">
        <is>
          <t>55784355:eng</t>
        </is>
      </c>
      <c r="AV155" t="inlineStr">
        <is>
          <t>29595367</t>
        </is>
      </c>
      <c r="AW155" t="inlineStr">
        <is>
          <t>991001191279702656</t>
        </is>
      </c>
      <c r="AX155" t="inlineStr">
        <is>
          <t>991001191279702656</t>
        </is>
      </c>
      <c r="AY155" t="inlineStr">
        <is>
          <t>2261256790002656</t>
        </is>
      </c>
      <c r="AZ155" t="inlineStr">
        <is>
          <t>BOOK</t>
        </is>
      </c>
      <c r="BC155" t="inlineStr">
        <is>
          <t>30001002983353</t>
        </is>
      </c>
      <c r="BD155" t="inlineStr">
        <is>
          <t>893268187</t>
        </is>
      </c>
    </row>
    <row r="156">
      <c r="A156" t="inlineStr">
        <is>
          <t>No</t>
        </is>
      </c>
      <c r="B156" t="inlineStr">
        <is>
          <t>QU 55 M5313 1994</t>
        </is>
      </c>
      <c r="C156" t="inlineStr">
        <is>
          <t>0                      QU 0055000M  5313        1994</t>
        </is>
      </c>
      <c r="D156" t="inlineStr">
        <is>
          <t>Membrane protein structure : experimental approaches / edited by Stephen H. White.</t>
        </is>
      </c>
      <c r="F156" t="inlineStr">
        <is>
          <t>No</t>
        </is>
      </c>
      <c r="G156" t="inlineStr">
        <is>
          <t>1</t>
        </is>
      </c>
      <c r="H156" t="inlineStr">
        <is>
          <t>No</t>
        </is>
      </c>
      <c r="I156" t="inlineStr">
        <is>
          <t>No</t>
        </is>
      </c>
      <c r="J156" t="inlineStr">
        <is>
          <t>0</t>
        </is>
      </c>
      <c r="L156" t="inlineStr">
        <is>
          <t>New York : Oxford University Press, c1994.</t>
        </is>
      </c>
      <c r="M156" t="inlineStr">
        <is>
          <t>1994</t>
        </is>
      </c>
      <c r="O156" t="inlineStr">
        <is>
          <t>eng</t>
        </is>
      </c>
      <c r="P156" t="inlineStr">
        <is>
          <t>nyu</t>
        </is>
      </c>
      <c r="Q156" t="inlineStr">
        <is>
          <t>Methods in physiology series</t>
        </is>
      </c>
      <c r="R156" t="inlineStr">
        <is>
          <t xml:space="preserve">QU </t>
        </is>
      </c>
      <c r="S156" t="n">
        <v>3</v>
      </c>
      <c r="T156" t="n">
        <v>3</v>
      </c>
      <c r="U156" t="inlineStr">
        <is>
          <t>2000-07-11</t>
        </is>
      </c>
      <c r="V156" t="inlineStr">
        <is>
          <t>2000-07-11</t>
        </is>
      </c>
      <c r="W156" t="inlineStr">
        <is>
          <t>1995-02-20</t>
        </is>
      </c>
      <c r="X156" t="inlineStr">
        <is>
          <t>1995-02-20</t>
        </is>
      </c>
      <c r="Y156" t="n">
        <v>294</v>
      </c>
      <c r="Z156" t="n">
        <v>210</v>
      </c>
      <c r="AA156" t="n">
        <v>226</v>
      </c>
      <c r="AB156" t="n">
        <v>4</v>
      </c>
      <c r="AC156" t="n">
        <v>4</v>
      </c>
      <c r="AD156" t="n">
        <v>9</v>
      </c>
      <c r="AE156" t="n">
        <v>10</v>
      </c>
      <c r="AF156" t="n">
        <v>0</v>
      </c>
      <c r="AG156" t="n">
        <v>1</v>
      </c>
      <c r="AH156" t="n">
        <v>4</v>
      </c>
      <c r="AI156" t="n">
        <v>4</v>
      </c>
      <c r="AJ156" t="n">
        <v>4</v>
      </c>
      <c r="AK156" t="n">
        <v>5</v>
      </c>
      <c r="AL156" t="n">
        <v>3</v>
      </c>
      <c r="AM156" t="n">
        <v>3</v>
      </c>
      <c r="AN156" t="n">
        <v>0</v>
      </c>
      <c r="AO156" t="n">
        <v>0</v>
      </c>
      <c r="AP156" t="inlineStr">
        <is>
          <t>No</t>
        </is>
      </c>
      <c r="AQ156" t="inlineStr">
        <is>
          <t>Yes</t>
        </is>
      </c>
      <c r="AR156">
        <f>HYPERLINK("http://catalog.hathitrust.org/Record/002959735","HathiTrust Record")</f>
        <v/>
      </c>
      <c r="AS156">
        <f>HYPERLINK("https://creighton-primo.hosted.exlibrisgroup.com/primo-explore/search?tab=default_tab&amp;search_scope=EVERYTHING&amp;vid=01CRU&amp;lang=en_US&amp;offset=0&amp;query=any,contains,991001396939702656","Catalog Record")</f>
        <v/>
      </c>
      <c r="AT156">
        <f>HYPERLINK("http://www.worldcat.org/oclc/28510499","WorldCat Record")</f>
        <v/>
      </c>
      <c r="AU156" t="inlineStr">
        <is>
          <t>798920291:eng</t>
        </is>
      </c>
      <c r="AV156" t="inlineStr">
        <is>
          <t>28510499</t>
        </is>
      </c>
      <c r="AW156" t="inlineStr">
        <is>
          <t>991001396939702656</t>
        </is>
      </c>
      <c r="AX156" t="inlineStr">
        <is>
          <t>991001396939702656</t>
        </is>
      </c>
      <c r="AY156" t="inlineStr">
        <is>
          <t>2256515080002656</t>
        </is>
      </c>
      <c r="AZ156" t="inlineStr">
        <is>
          <t>BOOK</t>
        </is>
      </c>
      <c r="BC156" t="inlineStr">
        <is>
          <t>30001003146307</t>
        </is>
      </c>
      <c r="BD156" t="inlineStr">
        <is>
          <t>893284751</t>
        </is>
      </c>
    </row>
    <row r="157">
      <c r="A157" t="inlineStr">
        <is>
          <t>No</t>
        </is>
      </c>
      <c r="B157" t="inlineStr">
        <is>
          <t>QU 55 M533 1992</t>
        </is>
      </c>
      <c r="C157" t="inlineStr">
        <is>
          <t>0                      QU 0055000M  533         1992</t>
        </is>
      </c>
      <c r="D157" t="inlineStr">
        <is>
          <t>Membrane biogenesis and protein targeting / editors, Walter Neupert and Roland Lill.</t>
        </is>
      </c>
      <c r="F157" t="inlineStr">
        <is>
          <t>No</t>
        </is>
      </c>
      <c r="G157" t="inlineStr">
        <is>
          <t>1</t>
        </is>
      </c>
      <c r="H157" t="inlineStr">
        <is>
          <t>No</t>
        </is>
      </c>
      <c r="I157" t="inlineStr">
        <is>
          <t>No</t>
        </is>
      </c>
      <c r="J157" t="inlineStr">
        <is>
          <t>0</t>
        </is>
      </c>
      <c r="L157" t="inlineStr">
        <is>
          <t>Amsterdam ; New York : Elsevier, c1992.</t>
        </is>
      </c>
      <c r="M157" t="inlineStr">
        <is>
          <t>1992</t>
        </is>
      </c>
      <c r="O157" t="inlineStr">
        <is>
          <t>eng</t>
        </is>
      </c>
      <c r="P157" t="inlineStr">
        <is>
          <t xml:space="preserve">ne </t>
        </is>
      </c>
      <c r="Q157" t="inlineStr">
        <is>
          <t>New comprehensive biochemistry ; v. 22</t>
        </is>
      </c>
      <c r="R157" t="inlineStr">
        <is>
          <t xml:space="preserve">QU </t>
        </is>
      </c>
      <c r="S157" t="n">
        <v>6</v>
      </c>
      <c r="T157" t="n">
        <v>6</v>
      </c>
      <c r="U157" t="inlineStr">
        <is>
          <t>1993-05-14</t>
        </is>
      </c>
      <c r="V157" t="inlineStr">
        <is>
          <t>1993-05-14</t>
        </is>
      </c>
      <c r="W157" t="inlineStr">
        <is>
          <t>1993-03-16</t>
        </is>
      </c>
      <c r="X157" t="inlineStr">
        <is>
          <t>1993-03-16</t>
        </is>
      </c>
      <c r="Y157" t="n">
        <v>292</v>
      </c>
      <c r="Z157" t="n">
        <v>198</v>
      </c>
      <c r="AA157" t="n">
        <v>247</v>
      </c>
      <c r="AB157" t="n">
        <v>1</v>
      </c>
      <c r="AC157" t="n">
        <v>2</v>
      </c>
      <c r="AD157" t="n">
        <v>9</v>
      </c>
      <c r="AE157" t="n">
        <v>11</v>
      </c>
      <c r="AF157" t="n">
        <v>4</v>
      </c>
      <c r="AG157" t="n">
        <v>5</v>
      </c>
      <c r="AH157" t="n">
        <v>3</v>
      </c>
      <c r="AI157" t="n">
        <v>4</v>
      </c>
      <c r="AJ157" t="n">
        <v>6</v>
      </c>
      <c r="AK157" t="n">
        <v>6</v>
      </c>
      <c r="AL157" t="n">
        <v>0</v>
      </c>
      <c r="AM157" t="n">
        <v>1</v>
      </c>
      <c r="AN157" t="n">
        <v>0</v>
      </c>
      <c r="AO157" t="n">
        <v>0</v>
      </c>
      <c r="AP157" t="inlineStr">
        <is>
          <t>No</t>
        </is>
      </c>
      <c r="AQ157" t="inlineStr">
        <is>
          <t>Yes</t>
        </is>
      </c>
      <c r="AR157">
        <f>HYPERLINK("http://catalog.hathitrust.org/Record/002597391","HathiTrust Record")</f>
        <v/>
      </c>
      <c r="AS157">
        <f>HYPERLINK("https://creighton-primo.hosted.exlibrisgroup.com/primo-explore/search?tab=default_tab&amp;search_scope=EVERYTHING&amp;vid=01CRU&amp;lang=en_US&amp;offset=0&amp;query=any,contains,991001481639702656","Catalog Record")</f>
        <v/>
      </c>
      <c r="AT157">
        <f>HYPERLINK("http://www.worldcat.org/oclc/26218211","WorldCat Record")</f>
        <v/>
      </c>
      <c r="AU157" t="inlineStr">
        <is>
          <t>693161329:eng</t>
        </is>
      </c>
      <c r="AV157" t="inlineStr">
        <is>
          <t>26218211</t>
        </is>
      </c>
      <c r="AW157" t="inlineStr">
        <is>
          <t>991001481639702656</t>
        </is>
      </c>
      <c r="AX157" t="inlineStr">
        <is>
          <t>991001481639702656</t>
        </is>
      </c>
      <c r="AY157" t="inlineStr">
        <is>
          <t>2268243350002656</t>
        </is>
      </c>
      <c r="AZ157" t="inlineStr">
        <is>
          <t>BOOK</t>
        </is>
      </c>
      <c r="BB157" t="inlineStr">
        <is>
          <t>9780444803030</t>
        </is>
      </c>
      <c r="BC157" t="inlineStr">
        <is>
          <t>30001002570010</t>
        </is>
      </c>
      <c r="BD157" t="inlineStr">
        <is>
          <t>893832230</t>
        </is>
      </c>
    </row>
    <row r="158">
      <c r="A158" t="inlineStr">
        <is>
          <t>No</t>
        </is>
      </c>
      <c r="B158" t="inlineStr">
        <is>
          <t>QU 55 M53443 2003</t>
        </is>
      </c>
      <c r="C158" t="inlineStr">
        <is>
          <t>0                      QU 0055000M  53443       2003</t>
        </is>
      </c>
      <c r="D158" t="inlineStr">
        <is>
          <t>Membrane transporter diseases / edited by Stefan Breoer and Carsten A. Wagner.</t>
        </is>
      </c>
      <c r="F158" t="inlineStr">
        <is>
          <t>No</t>
        </is>
      </c>
      <c r="G158" t="inlineStr">
        <is>
          <t>1</t>
        </is>
      </c>
      <c r="H158" t="inlineStr">
        <is>
          <t>No</t>
        </is>
      </c>
      <c r="I158" t="inlineStr">
        <is>
          <t>No</t>
        </is>
      </c>
      <c r="J158" t="inlineStr">
        <is>
          <t>0</t>
        </is>
      </c>
      <c r="L158" t="inlineStr">
        <is>
          <t>New York : Kluwer Academic/Plenum Publishers, c2003.</t>
        </is>
      </c>
      <c r="M158" t="inlineStr">
        <is>
          <t>2003</t>
        </is>
      </c>
      <c r="O158" t="inlineStr">
        <is>
          <t>eng</t>
        </is>
      </c>
      <c r="P158" t="inlineStr">
        <is>
          <t>nyu</t>
        </is>
      </c>
      <c r="R158" t="inlineStr">
        <is>
          <t xml:space="preserve">QU </t>
        </is>
      </c>
      <c r="S158" t="n">
        <v>0</v>
      </c>
      <c r="T158" t="n">
        <v>0</v>
      </c>
      <c r="U158" t="inlineStr">
        <is>
          <t>2004-09-24</t>
        </is>
      </c>
      <c r="V158" t="inlineStr">
        <is>
          <t>2004-09-24</t>
        </is>
      </c>
      <c r="W158" t="inlineStr">
        <is>
          <t>2004-09-22</t>
        </is>
      </c>
      <c r="X158" t="inlineStr">
        <is>
          <t>2004-09-22</t>
        </is>
      </c>
      <c r="Y158" t="n">
        <v>65</v>
      </c>
      <c r="Z158" t="n">
        <v>41</v>
      </c>
      <c r="AA158" t="n">
        <v>73</v>
      </c>
      <c r="AB158" t="n">
        <v>1</v>
      </c>
      <c r="AC158" t="n">
        <v>1</v>
      </c>
      <c r="AD158" t="n">
        <v>2</v>
      </c>
      <c r="AE158" t="n">
        <v>4</v>
      </c>
      <c r="AF158" t="n">
        <v>0</v>
      </c>
      <c r="AG158" t="n">
        <v>1</v>
      </c>
      <c r="AH158" t="n">
        <v>2</v>
      </c>
      <c r="AI158" t="n">
        <v>3</v>
      </c>
      <c r="AJ158" t="n">
        <v>1</v>
      </c>
      <c r="AK158" t="n">
        <v>2</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HYPERLINK("https://creighton-primo.hosted.exlibrisgroup.com/primo-explore/search?tab=default_tab&amp;search_scope=EVERYTHING&amp;vid=01CRU&amp;lang=en_US&amp;offset=0&amp;query=any,contains,991000394419702656","Catalog Record")</f>
        <v/>
      </c>
      <c r="AT158">
        <f>HYPERLINK("http://www.worldcat.org/oclc/52623534","WorldCat Record")</f>
        <v/>
      </c>
      <c r="AU158" t="inlineStr">
        <is>
          <t>351535264:eng</t>
        </is>
      </c>
      <c r="AV158" t="inlineStr">
        <is>
          <t>52623534</t>
        </is>
      </c>
      <c r="AW158" t="inlineStr">
        <is>
          <t>991000394419702656</t>
        </is>
      </c>
      <c r="AX158" t="inlineStr">
        <is>
          <t>991000394419702656</t>
        </is>
      </c>
      <c r="AY158" t="inlineStr">
        <is>
          <t>2270884290002656</t>
        </is>
      </c>
      <c r="AZ158" t="inlineStr">
        <is>
          <t>BOOK</t>
        </is>
      </c>
      <c r="BB158" t="inlineStr">
        <is>
          <t>9780306478833</t>
        </is>
      </c>
      <c r="BC158" t="inlineStr">
        <is>
          <t>30001004978666</t>
        </is>
      </c>
      <c r="BD158" t="inlineStr">
        <is>
          <t>893359526</t>
        </is>
      </c>
    </row>
    <row r="159">
      <c r="A159" t="inlineStr">
        <is>
          <t>No</t>
        </is>
      </c>
      <c r="B159" t="inlineStr">
        <is>
          <t>QU 55 M592</t>
        </is>
      </c>
      <c r="C159" t="inlineStr">
        <is>
          <t>0                      QU 0055000M  592</t>
        </is>
      </c>
      <c r="D159" t="inlineStr">
        <is>
          <t>Methods of protein separation / edited by Nicholas Catsimpoolas.</t>
        </is>
      </c>
      <c r="F159" t="inlineStr">
        <is>
          <t>No</t>
        </is>
      </c>
      <c r="G159" t="inlineStr">
        <is>
          <t>1</t>
        </is>
      </c>
      <c r="H159" t="inlineStr">
        <is>
          <t>No</t>
        </is>
      </c>
      <c r="I159" t="inlineStr">
        <is>
          <t>No</t>
        </is>
      </c>
      <c r="J159" t="inlineStr">
        <is>
          <t>0</t>
        </is>
      </c>
      <c r="L159" t="inlineStr">
        <is>
          <t>New York : Plenum Press, [1975-</t>
        </is>
      </c>
      <c r="M159" t="inlineStr">
        <is>
          <t>1975</t>
        </is>
      </c>
      <c r="O159" t="inlineStr">
        <is>
          <t>eng</t>
        </is>
      </c>
      <c r="P159" t="inlineStr">
        <is>
          <t>nyu</t>
        </is>
      </c>
      <c r="Q159" t="inlineStr">
        <is>
          <t>Biological separations</t>
        </is>
      </c>
      <c r="R159" t="inlineStr">
        <is>
          <t xml:space="preserve">QU </t>
        </is>
      </c>
      <c r="S159" t="n">
        <v>4</v>
      </c>
      <c r="T159" t="n">
        <v>4</v>
      </c>
      <c r="U159" t="inlineStr">
        <is>
          <t>2002-08-06</t>
        </is>
      </c>
      <c r="V159" t="inlineStr">
        <is>
          <t>2002-08-06</t>
        </is>
      </c>
      <c r="W159" t="inlineStr">
        <is>
          <t>1987-12-30</t>
        </is>
      </c>
      <c r="X159" t="inlineStr">
        <is>
          <t>1987-12-30</t>
        </is>
      </c>
      <c r="Y159" t="n">
        <v>360</v>
      </c>
      <c r="Z159" t="n">
        <v>281</v>
      </c>
      <c r="AA159" t="n">
        <v>297</v>
      </c>
      <c r="AB159" t="n">
        <v>3</v>
      </c>
      <c r="AC159" t="n">
        <v>3</v>
      </c>
      <c r="AD159" t="n">
        <v>7</v>
      </c>
      <c r="AE159" t="n">
        <v>8</v>
      </c>
      <c r="AF159" t="n">
        <v>1</v>
      </c>
      <c r="AG159" t="n">
        <v>2</v>
      </c>
      <c r="AH159" t="n">
        <v>3</v>
      </c>
      <c r="AI159" t="n">
        <v>3</v>
      </c>
      <c r="AJ159" t="n">
        <v>3</v>
      </c>
      <c r="AK159" t="n">
        <v>4</v>
      </c>
      <c r="AL159" t="n">
        <v>2</v>
      </c>
      <c r="AM159" t="n">
        <v>2</v>
      </c>
      <c r="AN159" t="n">
        <v>0</v>
      </c>
      <c r="AO159" t="n">
        <v>0</v>
      </c>
      <c r="AP159" t="inlineStr">
        <is>
          <t>No</t>
        </is>
      </c>
      <c r="AQ159" t="inlineStr">
        <is>
          <t>Yes</t>
        </is>
      </c>
      <c r="AR159">
        <f>HYPERLINK("http://catalog.hathitrust.org/Record/000273252","HathiTrust Record")</f>
        <v/>
      </c>
      <c r="AS159">
        <f>HYPERLINK("https://creighton-primo.hosted.exlibrisgroup.com/primo-explore/search?tab=default_tab&amp;search_scope=EVERYTHING&amp;vid=01CRU&amp;lang=en_US&amp;offset=0&amp;query=any,contains,991000897379702656","Catalog Record")</f>
        <v/>
      </c>
      <c r="AT159">
        <f>HYPERLINK("http://www.worldcat.org/oclc/1502368","WorldCat Record")</f>
        <v/>
      </c>
      <c r="AU159" t="inlineStr">
        <is>
          <t>3376876411:eng</t>
        </is>
      </c>
      <c r="AV159" t="inlineStr">
        <is>
          <t>1502368</t>
        </is>
      </c>
      <c r="AW159" t="inlineStr">
        <is>
          <t>991000897379702656</t>
        </is>
      </c>
      <c r="AX159" t="inlineStr">
        <is>
          <t>991000897379702656</t>
        </is>
      </c>
      <c r="AY159" t="inlineStr">
        <is>
          <t>2263414160002656</t>
        </is>
      </c>
      <c r="AZ159" t="inlineStr">
        <is>
          <t>BOOK</t>
        </is>
      </c>
      <c r="BC159" t="inlineStr">
        <is>
          <t>30001000157885</t>
        </is>
      </c>
      <c r="BD159" t="inlineStr">
        <is>
          <t>893460106</t>
        </is>
      </c>
    </row>
    <row r="160">
      <c r="A160" t="inlineStr">
        <is>
          <t>No</t>
        </is>
      </c>
      <c r="B160" t="inlineStr">
        <is>
          <t>QU 55 M7145 1992</t>
        </is>
      </c>
      <c r="C160" t="inlineStr">
        <is>
          <t>0                      QU 0055000M  7145        1992</t>
        </is>
      </c>
      <c r="D160" t="inlineStr">
        <is>
          <t>Molecular aspects of transport proteins / editor, J.J.H.H.M. De Pont.</t>
        </is>
      </c>
      <c r="F160" t="inlineStr">
        <is>
          <t>No</t>
        </is>
      </c>
      <c r="G160" t="inlineStr">
        <is>
          <t>1</t>
        </is>
      </c>
      <c r="H160" t="inlineStr">
        <is>
          <t>No</t>
        </is>
      </c>
      <c r="I160" t="inlineStr">
        <is>
          <t>No</t>
        </is>
      </c>
      <c r="J160" t="inlineStr">
        <is>
          <t>0</t>
        </is>
      </c>
      <c r="L160" t="inlineStr">
        <is>
          <t>Amsterdam ; New York : Elsevier, c1992.</t>
        </is>
      </c>
      <c r="M160" t="inlineStr">
        <is>
          <t>1992</t>
        </is>
      </c>
      <c r="O160" t="inlineStr">
        <is>
          <t>eng</t>
        </is>
      </c>
      <c r="P160" t="inlineStr">
        <is>
          <t xml:space="preserve">ne </t>
        </is>
      </c>
      <c r="Q160" t="inlineStr">
        <is>
          <t>New comprehensive biochemistry ; v. 21</t>
        </is>
      </c>
      <c r="R160" t="inlineStr">
        <is>
          <t xml:space="preserve">QU </t>
        </is>
      </c>
      <c r="S160" t="n">
        <v>8</v>
      </c>
      <c r="T160" t="n">
        <v>8</v>
      </c>
      <c r="U160" t="inlineStr">
        <is>
          <t>1998-09-29</t>
        </is>
      </c>
      <c r="V160" t="inlineStr">
        <is>
          <t>1998-09-29</t>
        </is>
      </c>
      <c r="W160" t="inlineStr">
        <is>
          <t>1993-08-27</t>
        </is>
      </c>
      <c r="X160" t="inlineStr">
        <is>
          <t>1993-08-27</t>
        </is>
      </c>
      <c r="Y160" t="n">
        <v>280</v>
      </c>
      <c r="Z160" t="n">
        <v>202</v>
      </c>
      <c r="AA160" t="n">
        <v>248</v>
      </c>
      <c r="AB160" t="n">
        <v>2</v>
      </c>
      <c r="AC160" t="n">
        <v>2</v>
      </c>
      <c r="AD160" t="n">
        <v>10</v>
      </c>
      <c r="AE160" t="n">
        <v>11</v>
      </c>
      <c r="AF160" t="n">
        <v>4</v>
      </c>
      <c r="AG160" t="n">
        <v>5</v>
      </c>
      <c r="AH160" t="n">
        <v>3</v>
      </c>
      <c r="AI160" t="n">
        <v>4</v>
      </c>
      <c r="AJ160" t="n">
        <v>6</v>
      </c>
      <c r="AK160" t="n">
        <v>6</v>
      </c>
      <c r="AL160" t="n">
        <v>1</v>
      </c>
      <c r="AM160" t="n">
        <v>1</v>
      </c>
      <c r="AN160" t="n">
        <v>0</v>
      </c>
      <c r="AO160" t="n">
        <v>0</v>
      </c>
      <c r="AP160" t="inlineStr">
        <is>
          <t>No</t>
        </is>
      </c>
      <c r="AQ160" t="inlineStr">
        <is>
          <t>Yes</t>
        </is>
      </c>
      <c r="AR160">
        <f>HYPERLINK("http://catalog.hathitrust.org/Record/002610069","HathiTrust Record")</f>
        <v/>
      </c>
      <c r="AS160">
        <f>HYPERLINK("https://creighton-primo.hosted.exlibrisgroup.com/primo-explore/search?tab=default_tab&amp;search_scope=EVERYTHING&amp;vid=01CRU&amp;lang=en_US&amp;offset=0&amp;query=any,contains,991001510579702656","Catalog Record")</f>
        <v/>
      </c>
      <c r="AT160">
        <f>HYPERLINK("http://www.worldcat.org/oclc/25867238","WorldCat Record")</f>
        <v/>
      </c>
      <c r="AU160" t="inlineStr">
        <is>
          <t>693145894:eng</t>
        </is>
      </c>
      <c r="AV160" t="inlineStr">
        <is>
          <t>25867238</t>
        </is>
      </c>
      <c r="AW160" t="inlineStr">
        <is>
          <t>991001510579702656</t>
        </is>
      </c>
      <c r="AX160" t="inlineStr">
        <is>
          <t>991001510579702656</t>
        </is>
      </c>
      <c r="AY160" t="inlineStr">
        <is>
          <t>2256144660002656</t>
        </is>
      </c>
      <c r="AZ160" t="inlineStr">
        <is>
          <t>BOOK</t>
        </is>
      </c>
      <c r="BB160" t="inlineStr">
        <is>
          <t>9780444803030</t>
        </is>
      </c>
      <c r="BC160" t="inlineStr">
        <is>
          <t>30001002600742</t>
        </is>
      </c>
      <c r="BD160" t="inlineStr">
        <is>
          <t>893638402</t>
        </is>
      </c>
    </row>
    <row r="161">
      <c r="A161" t="inlineStr">
        <is>
          <t>No</t>
        </is>
      </c>
      <c r="B161" t="inlineStr">
        <is>
          <t>QU 55 M718 1993</t>
        </is>
      </c>
      <c r="C161" t="inlineStr">
        <is>
          <t>0                      QU 0055000M  718         1993</t>
        </is>
      </c>
      <c r="D161" t="inlineStr">
        <is>
          <t>The Molecules of transport : ion channels / Florian Lang, ed.</t>
        </is>
      </c>
      <c r="F161" t="inlineStr">
        <is>
          <t>No</t>
        </is>
      </c>
      <c r="G161" t="inlineStr">
        <is>
          <t>1</t>
        </is>
      </c>
      <c r="H161" t="inlineStr">
        <is>
          <t>No</t>
        </is>
      </c>
      <c r="I161" t="inlineStr">
        <is>
          <t>No</t>
        </is>
      </c>
      <c r="J161" t="inlineStr">
        <is>
          <t>0</t>
        </is>
      </c>
      <c r="L161" t="inlineStr">
        <is>
          <t>Basel ; New York : S. Karger, 1993.</t>
        </is>
      </c>
      <c r="M161" t="inlineStr">
        <is>
          <t>1993</t>
        </is>
      </c>
      <c r="O161" t="inlineStr">
        <is>
          <t>eng</t>
        </is>
      </c>
      <c r="P161" t="inlineStr">
        <is>
          <t xml:space="preserve">sz </t>
        </is>
      </c>
      <c r="Q161" t="inlineStr">
        <is>
          <t>Cellular physiology and biochemistry ; v. 3, no. 5-6, 1993</t>
        </is>
      </c>
      <c r="R161" t="inlineStr">
        <is>
          <t xml:space="preserve">QU </t>
        </is>
      </c>
      <c r="S161" t="n">
        <v>7</v>
      </c>
      <c r="T161" t="n">
        <v>7</v>
      </c>
      <c r="U161" t="inlineStr">
        <is>
          <t>2003-12-01</t>
        </is>
      </c>
      <c r="V161" t="inlineStr">
        <is>
          <t>2003-12-01</t>
        </is>
      </c>
      <c r="W161" t="inlineStr">
        <is>
          <t>1993-11-23</t>
        </is>
      </c>
      <c r="X161" t="inlineStr">
        <is>
          <t>1993-11-23</t>
        </is>
      </c>
      <c r="Y161" t="n">
        <v>14</v>
      </c>
      <c r="Z161" t="n">
        <v>6</v>
      </c>
      <c r="AA161" t="n">
        <v>6</v>
      </c>
      <c r="AB161" t="n">
        <v>0</v>
      </c>
      <c r="AC161" t="n">
        <v>0</v>
      </c>
      <c r="AD161" t="n">
        <v>0</v>
      </c>
      <c r="AE161" t="n">
        <v>0</v>
      </c>
      <c r="AF161" t="n">
        <v>0</v>
      </c>
      <c r="AG161" t="n">
        <v>0</v>
      </c>
      <c r="AH161" t="n">
        <v>0</v>
      </c>
      <c r="AI161" t="n">
        <v>0</v>
      </c>
      <c r="AJ161" t="n">
        <v>0</v>
      </c>
      <c r="AK161" t="n">
        <v>0</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HYPERLINK("https://creighton-primo.hosted.exlibrisgroup.com/primo-explore/search?tab=default_tab&amp;search_scope=EVERYTHING&amp;vid=01CRU&amp;lang=en_US&amp;offset=0&amp;query=any,contains,991001515919702656","Catalog Record")</f>
        <v/>
      </c>
      <c r="AT161">
        <f>HYPERLINK("http://www.worldcat.org/oclc/31091239","WorldCat Record")</f>
        <v/>
      </c>
      <c r="AU161" t="inlineStr">
        <is>
          <t>55851608:eng</t>
        </is>
      </c>
      <c r="AV161" t="inlineStr">
        <is>
          <t>31091239</t>
        </is>
      </c>
      <c r="AW161" t="inlineStr">
        <is>
          <t>991001515919702656</t>
        </is>
      </c>
      <c r="AX161" t="inlineStr">
        <is>
          <t>991001515919702656</t>
        </is>
      </c>
      <c r="AY161" t="inlineStr">
        <is>
          <t>2272407350002656</t>
        </is>
      </c>
      <c r="AZ161" t="inlineStr">
        <is>
          <t>BOOK</t>
        </is>
      </c>
      <c r="BB161" t="inlineStr">
        <is>
          <t>9783805558488</t>
        </is>
      </c>
      <c r="BC161" t="inlineStr">
        <is>
          <t>30001002602219</t>
        </is>
      </c>
      <c r="BD161" t="inlineStr">
        <is>
          <t>893816487</t>
        </is>
      </c>
    </row>
    <row r="162">
      <c r="A162" t="inlineStr">
        <is>
          <t>No</t>
        </is>
      </c>
      <c r="B162" t="inlineStr">
        <is>
          <t>QU 55 M96085 2007</t>
        </is>
      </c>
      <c r="C162" t="inlineStr">
        <is>
          <t>0                      QU 0055000M  96085       2007</t>
        </is>
      </c>
      <c r="D162" t="inlineStr">
        <is>
          <t>Multidrug resistance-associated proteins / Christopher V. Aiello, editor.</t>
        </is>
      </c>
      <c r="F162" t="inlineStr">
        <is>
          <t>No</t>
        </is>
      </c>
      <c r="G162" t="inlineStr">
        <is>
          <t>1</t>
        </is>
      </c>
      <c r="H162" t="inlineStr">
        <is>
          <t>No</t>
        </is>
      </c>
      <c r="I162" t="inlineStr">
        <is>
          <t>No</t>
        </is>
      </c>
      <c r="J162" t="inlineStr">
        <is>
          <t>0</t>
        </is>
      </c>
      <c r="L162" t="inlineStr">
        <is>
          <t>New York : Nova Science Publishers, c2007.</t>
        </is>
      </c>
      <c r="M162" t="inlineStr">
        <is>
          <t>2007</t>
        </is>
      </c>
      <c r="O162" t="inlineStr">
        <is>
          <t>eng</t>
        </is>
      </c>
      <c r="P162" t="inlineStr">
        <is>
          <t>nyu</t>
        </is>
      </c>
      <c r="R162" t="inlineStr">
        <is>
          <t xml:space="preserve">QU </t>
        </is>
      </c>
      <c r="S162" t="n">
        <v>0</v>
      </c>
      <c r="T162" t="n">
        <v>0</v>
      </c>
      <c r="U162" t="inlineStr">
        <is>
          <t>2007-11-16</t>
        </is>
      </c>
      <c r="V162" t="inlineStr">
        <is>
          <t>2007-11-16</t>
        </is>
      </c>
      <c r="W162" t="inlineStr">
        <is>
          <t>2007-11-15</t>
        </is>
      </c>
      <c r="X162" t="inlineStr">
        <is>
          <t>2007-11-15</t>
        </is>
      </c>
      <c r="Y162" t="n">
        <v>34</v>
      </c>
      <c r="Z162" t="n">
        <v>28</v>
      </c>
      <c r="AA162" t="n">
        <v>28</v>
      </c>
      <c r="AB162" t="n">
        <v>1</v>
      </c>
      <c r="AC162" t="n">
        <v>1</v>
      </c>
      <c r="AD162" t="n">
        <v>1</v>
      </c>
      <c r="AE162" t="n">
        <v>1</v>
      </c>
      <c r="AF162" t="n">
        <v>0</v>
      </c>
      <c r="AG162" t="n">
        <v>0</v>
      </c>
      <c r="AH162" t="n">
        <v>1</v>
      </c>
      <c r="AI162" t="n">
        <v>1</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HYPERLINK("https://creighton-primo.hosted.exlibrisgroup.com/primo-explore/search?tab=default_tab&amp;search_scope=EVERYTHING&amp;vid=01CRU&amp;lang=en_US&amp;offset=0&amp;query=any,contains,991000661869702656","Catalog Record")</f>
        <v/>
      </c>
      <c r="AT162">
        <f>HYPERLINK("http://www.worldcat.org/oclc/70119707","WorldCat Record")</f>
        <v/>
      </c>
      <c r="AU162" t="inlineStr">
        <is>
          <t>54194119:eng</t>
        </is>
      </c>
      <c r="AV162" t="inlineStr">
        <is>
          <t>70119707</t>
        </is>
      </c>
      <c r="AW162" t="inlineStr">
        <is>
          <t>991000661869702656</t>
        </is>
      </c>
      <c r="AX162" t="inlineStr">
        <is>
          <t>991000661869702656</t>
        </is>
      </c>
      <c r="AY162" t="inlineStr">
        <is>
          <t>2270569500002656</t>
        </is>
      </c>
      <c r="AZ162" t="inlineStr">
        <is>
          <t>BOOK</t>
        </is>
      </c>
      <c r="BB162" t="inlineStr">
        <is>
          <t>9781600212987</t>
        </is>
      </c>
      <c r="BC162" t="inlineStr">
        <is>
          <t>30001005272861</t>
        </is>
      </c>
      <c r="BD162" t="inlineStr">
        <is>
          <t>893357275</t>
        </is>
      </c>
    </row>
    <row r="163">
      <c r="A163" t="inlineStr">
        <is>
          <t>No</t>
        </is>
      </c>
      <c r="B163" t="inlineStr">
        <is>
          <t>QU 55 ME587 1985 v.6-7</t>
        </is>
      </c>
      <c r="C163" t="inlineStr">
        <is>
          <t>0                      QU 0055000ME 587         1985                                        v.6-7</t>
        </is>
      </c>
      <c r="D163" t="inlineStr">
        <is>
          <t>Metalloproteins / edited by Pauline M. Harrison.</t>
        </is>
      </c>
      <c r="E163" t="inlineStr">
        <is>
          <t>V. 7</t>
        </is>
      </c>
      <c r="F163" t="inlineStr">
        <is>
          <t>Yes</t>
        </is>
      </c>
      <c r="G163" t="inlineStr">
        <is>
          <t>1</t>
        </is>
      </c>
      <c r="H163" t="inlineStr">
        <is>
          <t>No</t>
        </is>
      </c>
      <c r="I163" t="inlineStr">
        <is>
          <t>No</t>
        </is>
      </c>
      <c r="J163" t="inlineStr">
        <is>
          <t>0</t>
        </is>
      </c>
      <c r="L163" t="inlineStr">
        <is>
          <t>Weinheim ; Deerfield Beach, Fla. : Verlag Chemie, c1985.</t>
        </is>
      </c>
      <c r="M163" t="inlineStr">
        <is>
          <t>1985</t>
        </is>
      </c>
      <c r="O163" t="inlineStr">
        <is>
          <t>eng</t>
        </is>
      </c>
      <c r="P163" t="inlineStr">
        <is>
          <t xml:space="preserve">gw </t>
        </is>
      </c>
      <c r="Q163" t="inlineStr">
        <is>
          <t>Topics in molecular and structural biology ; 6-7</t>
        </is>
      </c>
      <c r="R163" t="inlineStr">
        <is>
          <t xml:space="preserve">QU </t>
        </is>
      </c>
      <c r="S163" t="n">
        <v>1</v>
      </c>
      <c r="T163" t="n">
        <v>3</v>
      </c>
      <c r="V163" t="inlineStr">
        <is>
          <t>1995-05-08</t>
        </is>
      </c>
      <c r="W163" t="inlineStr">
        <is>
          <t>1988-01-26</t>
        </is>
      </c>
      <c r="X163" t="inlineStr">
        <is>
          <t>1988-01-26</t>
        </is>
      </c>
      <c r="Y163" t="n">
        <v>193</v>
      </c>
      <c r="Z163" t="n">
        <v>175</v>
      </c>
      <c r="AA163" t="n">
        <v>232</v>
      </c>
      <c r="AB163" t="n">
        <v>1</v>
      </c>
      <c r="AC163" t="n">
        <v>1</v>
      </c>
      <c r="AD163" t="n">
        <v>8</v>
      </c>
      <c r="AE163" t="n">
        <v>10</v>
      </c>
      <c r="AF163" t="n">
        <v>0</v>
      </c>
      <c r="AG163" t="n">
        <v>1</v>
      </c>
      <c r="AH163" t="n">
        <v>5</v>
      </c>
      <c r="AI163" t="n">
        <v>5</v>
      </c>
      <c r="AJ163" t="n">
        <v>6</v>
      </c>
      <c r="AK163" t="n">
        <v>7</v>
      </c>
      <c r="AL163" t="n">
        <v>0</v>
      </c>
      <c r="AM163" t="n">
        <v>0</v>
      </c>
      <c r="AN163" t="n">
        <v>0</v>
      </c>
      <c r="AO163" t="n">
        <v>0</v>
      </c>
      <c r="AP163" t="inlineStr">
        <is>
          <t>No</t>
        </is>
      </c>
      <c r="AQ163" t="inlineStr">
        <is>
          <t>Yes</t>
        </is>
      </c>
      <c r="AR163">
        <f>HYPERLINK("http://catalog.hathitrust.org/Record/000375221","HathiTrust Record")</f>
        <v/>
      </c>
      <c r="AS163">
        <f>HYPERLINK("https://creighton-primo.hosted.exlibrisgroup.com/primo-explore/search?tab=default_tab&amp;search_scope=EVERYTHING&amp;vid=01CRU&amp;lang=en_US&amp;offset=0&amp;query=any,contains,991000897419702656","Catalog Record")</f>
        <v/>
      </c>
      <c r="AT163">
        <f>HYPERLINK("http://www.worldcat.org/oclc/12219670","WorldCat Record")</f>
        <v/>
      </c>
      <c r="AU163" t="inlineStr">
        <is>
          <t>54716500:eng</t>
        </is>
      </c>
      <c r="AV163" t="inlineStr">
        <is>
          <t>12219670</t>
        </is>
      </c>
      <c r="AW163" t="inlineStr">
        <is>
          <t>991000897419702656</t>
        </is>
      </c>
      <c r="AX163" t="inlineStr">
        <is>
          <t>991000897419702656</t>
        </is>
      </c>
      <c r="AY163" t="inlineStr">
        <is>
          <t>2269410990002656</t>
        </is>
      </c>
      <c r="AZ163" t="inlineStr">
        <is>
          <t>BOOK</t>
        </is>
      </c>
      <c r="BB163" t="inlineStr">
        <is>
          <t>9780895732101</t>
        </is>
      </c>
      <c r="BC163" t="inlineStr">
        <is>
          <t>30001000157927</t>
        </is>
      </c>
      <c r="BD163" t="inlineStr">
        <is>
          <t>893368869</t>
        </is>
      </c>
    </row>
    <row r="164">
      <c r="A164" t="inlineStr">
        <is>
          <t>No</t>
        </is>
      </c>
      <c r="B164" t="inlineStr">
        <is>
          <t>QU 55 ME587 1985 v.6-7</t>
        </is>
      </c>
      <c r="C164" t="inlineStr">
        <is>
          <t>0                      QU 0055000ME 587         1985                                        v.6-7</t>
        </is>
      </c>
      <c r="D164" t="inlineStr">
        <is>
          <t>Metalloproteins / edited by Pauline M. Harrison.</t>
        </is>
      </c>
      <c r="E164" t="inlineStr">
        <is>
          <t>V. 6</t>
        </is>
      </c>
      <c r="F164" t="inlineStr">
        <is>
          <t>Yes</t>
        </is>
      </c>
      <c r="G164" t="inlineStr">
        <is>
          <t>1</t>
        </is>
      </c>
      <c r="H164" t="inlineStr">
        <is>
          <t>No</t>
        </is>
      </c>
      <c r="I164" t="inlineStr">
        <is>
          <t>No</t>
        </is>
      </c>
      <c r="J164" t="inlineStr">
        <is>
          <t>0</t>
        </is>
      </c>
      <c r="L164" t="inlineStr">
        <is>
          <t>Weinheim ; Deerfield Beach, Fla. : Verlag Chemie, c1985.</t>
        </is>
      </c>
      <c r="M164" t="inlineStr">
        <is>
          <t>1985</t>
        </is>
      </c>
      <c r="O164" t="inlineStr">
        <is>
          <t>eng</t>
        </is>
      </c>
      <c r="P164" t="inlineStr">
        <is>
          <t xml:space="preserve">gw </t>
        </is>
      </c>
      <c r="Q164" t="inlineStr">
        <is>
          <t>Topics in molecular and structural biology ; 6-7</t>
        </is>
      </c>
      <c r="R164" t="inlineStr">
        <is>
          <t xml:space="preserve">QU </t>
        </is>
      </c>
      <c r="S164" t="n">
        <v>2</v>
      </c>
      <c r="T164" t="n">
        <v>3</v>
      </c>
      <c r="U164" t="inlineStr">
        <is>
          <t>1995-05-08</t>
        </is>
      </c>
      <c r="V164" t="inlineStr">
        <is>
          <t>1995-05-08</t>
        </is>
      </c>
      <c r="W164" t="inlineStr">
        <is>
          <t>1988-01-26</t>
        </is>
      </c>
      <c r="X164" t="inlineStr">
        <is>
          <t>1988-01-26</t>
        </is>
      </c>
      <c r="Y164" t="n">
        <v>193</v>
      </c>
      <c r="Z164" t="n">
        <v>175</v>
      </c>
      <c r="AA164" t="n">
        <v>232</v>
      </c>
      <c r="AB164" t="n">
        <v>1</v>
      </c>
      <c r="AC164" t="n">
        <v>1</v>
      </c>
      <c r="AD164" t="n">
        <v>8</v>
      </c>
      <c r="AE164" t="n">
        <v>10</v>
      </c>
      <c r="AF164" t="n">
        <v>0</v>
      </c>
      <c r="AG164" t="n">
        <v>1</v>
      </c>
      <c r="AH164" t="n">
        <v>5</v>
      </c>
      <c r="AI164" t="n">
        <v>5</v>
      </c>
      <c r="AJ164" t="n">
        <v>6</v>
      </c>
      <c r="AK164" t="n">
        <v>7</v>
      </c>
      <c r="AL164" t="n">
        <v>0</v>
      </c>
      <c r="AM164" t="n">
        <v>0</v>
      </c>
      <c r="AN164" t="n">
        <v>0</v>
      </c>
      <c r="AO164" t="n">
        <v>0</v>
      </c>
      <c r="AP164" t="inlineStr">
        <is>
          <t>No</t>
        </is>
      </c>
      <c r="AQ164" t="inlineStr">
        <is>
          <t>Yes</t>
        </is>
      </c>
      <c r="AR164">
        <f>HYPERLINK("http://catalog.hathitrust.org/Record/000375221","HathiTrust Record")</f>
        <v/>
      </c>
      <c r="AS164">
        <f>HYPERLINK("https://creighton-primo.hosted.exlibrisgroup.com/primo-explore/search?tab=default_tab&amp;search_scope=EVERYTHING&amp;vid=01CRU&amp;lang=en_US&amp;offset=0&amp;query=any,contains,991000897419702656","Catalog Record")</f>
        <v/>
      </c>
      <c r="AT164">
        <f>HYPERLINK("http://www.worldcat.org/oclc/12219670","WorldCat Record")</f>
        <v/>
      </c>
      <c r="AU164" t="inlineStr">
        <is>
          <t>54716500:eng</t>
        </is>
      </c>
      <c r="AV164" t="inlineStr">
        <is>
          <t>12219670</t>
        </is>
      </c>
      <c r="AW164" t="inlineStr">
        <is>
          <t>991000897419702656</t>
        </is>
      </c>
      <c r="AX164" t="inlineStr">
        <is>
          <t>991000897419702656</t>
        </is>
      </c>
      <c r="AY164" t="inlineStr">
        <is>
          <t>2269410990002656</t>
        </is>
      </c>
      <c r="AZ164" t="inlineStr">
        <is>
          <t>BOOK</t>
        </is>
      </c>
      <c r="BB164" t="inlineStr">
        <is>
          <t>9780895732101</t>
        </is>
      </c>
      <c r="BC164" t="inlineStr">
        <is>
          <t>30001000157919</t>
        </is>
      </c>
      <c r="BD164" t="inlineStr">
        <is>
          <t>893357988</t>
        </is>
      </c>
    </row>
    <row r="165">
      <c r="A165" t="inlineStr">
        <is>
          <t>No</t>
        </is>
      </c>
      <c r="B165" t="inlineStr">
        <is>
          <t>QU 55 N2857s 1986</t>
        </is>
      </c>
      <c r="C165" t="inlineStr">
        <is>
          <t>0                      QU 0055000N  2857s       1986</t>
        </is>
      </c>
      <c r="D165" t="inlineStr">
        <is>
          <t>Signal transduction and protein phosphorylation / edited by L.M.G. Heilmeyer.</t>
        </is>
      </c>
      <c r="F165" t="inlineStr">
        <is>
          <t>No</t>
        </is>
      </c>
      <c r="G165" t="inlineStr">
        <is>
          <t>1</t>
        </is>
      </c>
      <c r="H165" t="inlineStr">
        <is>
          <t>No</t>
        </is>
      </c>
      <c r="I165" t="inlineStr">
        <is>
          <t>No</t>
        </is>
      </c>
      <c r="J165" t="inlineStr">
        <is>
          <t>0</t>
        </is>
      </c>
      <c r="K165" t="inlineStr">
        <is>
          <t>NATO/FEBS Summer School on Signal Transduction and Protein Phosphorylation (1986 : Korgialenios School)</t>
        </is>
      </c>
      <c r="L165" t="inlineStr">
        <is>
          <t>New York : Plenum Press, c1987.</t>
        </is>
      </c>
      <c r="M165" t="inlineStr">
        <is>
          <t>1987</t>
        </is>
      </c>
      <c r="O165" t="inlineStr">
        <is>
          <t>eng</t>
        </is>
      </c>
      <c r="P165" t="inlineStr">
        <is>
          <t>xxu</t>
        </is>
      </c>
      <c r="Q165" t="inlineStr">
        <is>
          <t>NATO ASI series. Series A, Life sciences ; v. 135</t>
        </is>
      </c>
      <c r="R165" t="inlineStr">
        <is>
          <t xml:space="preserve">QU </t>
        </is>
      </c>
      <c r="S165" t="n">
        <v>16</v>
      </c>
      <c r="T165" t="n">
        <v>16</v>
      </c>
      <c r="U165" t="inlineStr">
        <is>
          <t>1998-09-29</t>
        </is>
      </c>
      <c r="V165" t="inlineStr">
        <is>
          <t>1998-09-29</t>
        </is>
      </c>
      <c r="W165" t="inlineStr">
        <is>
          <t>1989-04-28</t>
        </is>
      </c>
      <c r="X165" t="inlineStr">
        <is>
          <t>1989-04-28</t>
        </is>
      </c>
      <c r="Y165" t="n">
        <v>161</v>
      </c>
      <c r="Z165" t="n">
        <v>120</v>
      </c>
      <c r="AA165" t="n">
        <v>136</v>
      </c>
      <c r="AB165" t="n">
        <v>1</v>
      </c>
      <c r="AC165" t="n">
        <v>1</v>
      </c>
      <c r="AD165" t="n">
        <v>4</v>
      </c>
      <c r="AE165" t="n">
        <v>4</v>
      </c>
      <c r="AF165" t="n">
        <v>1</v>
      </c>
      <c r="AG165" t="n">
        <v>1</v>
      </c>
      <c r="AH165" t="n">
        <v>2</v>
      </c>
      <c r="AI165" t="n">
        <v>2</v>
      </c>
      <c r="AJ165" t="n">
        <v>3</v>
      </c>
      <c r="AK165" t="n">
        <v>3</v>
      </c>
      <c r="AL165" t="n">
        <v>0</v>
      </c>
      <c r="AM165" t="n">
        <v>0</v>
      </c>
      <c r="AN165" t="n">
        <v>0</v>
      </c>
      <c r="AO165" t="n">
        <v>0</v>
      </c>
      <c r="AP165" t="inlineStr">
        <is>
          <t>No</t>
        </is>
      </c>
      <c r="AQ165" t="inlineStr">
        <is>
          <t>Yes</t>
        </is>
      </c>
      <c r="AR165">
        <f>HYPERLINK("http://catalog.hathitrust.org/Record/000875909","HathiTrust Record")</f>
        <v/>
      </c>
      <c r="AS165">
        <f>HYPERLINK("https://creighton-primo.hosted.exlibrisgroup.com/primo-explore/search?tab=default_tab&amp;search_scope=EVERYTHING&amp;vid=01CRU&amp;lang=en_US&amp;offset=0&amp;query=any,contains,991001245589702656","Catalog Record")</f>
        <v/>
      </c>
      <c r="AT165">
        <f>HYPERLINK("http://www.worldcat.org/oclc/16091707","WorldCat Record")</f>
        <v/>
      </c>
      <c r="AU165" t="inlineStr">
        <is>
          <t>356158944:eng</t>
        </is>
      </c>
      <c r="AV165" t="inlineStr">
        <is>
          <t>16091707</t>
        </is>
      </c>
      <c r="AW165" t="inlineStr">
        <is>
          <t>991001245589702656</t>
        </is>
      </c>
      <c r="AX165" t="inlineStr">
        <is>
          <t>991001245589702656</t>
        </is>
      </c>
      <c r="AY165" t="inlineStr">
        <is>
          <t>2263156690002656</t>
        </is>
      </c>
      <c r="AZ165" t="inlineStr">
        <is>
          <t>BOOK</t>
        </is>
      </c>
      <c r="BB165" t="inlineStr">
        <is>
          <t>9780306426155</t>
        </is>
      </c>
      <c r="BC165" t="inlineStr">
        <is>
          <t>30001001677121</t>
        </is>
      </c>
      <c r="BD165" t="inlineStr">
        <is>
          <t>893377157</t>
        </is>
      </c>
    </row>
    <row r="166">
      <c r="A166" t="inlineStr">
        <is>
          <t>No</t>
        </is>
      </c>
      <c r="B166" t="inlineStr">
        <is>
          <t>QU 55 N468p 1984</t>
        </is>
      </c>
      <c r="C166" t="inlineStr">
        <is>
          <t>0                      QU 0055000N  468p        1984</t>
        </is>
      </c>
      <c r="D166" t="inlineStr">
        <is>
          <t>Protein phosphorylation in the nervous system / Eric J. Nestler, Paul Greengard.</t>
        </is>
      </c>
      <c r="F166" t="inlineStr">
        <is>
          <t>No</t>
        </is>
      </c>
      <c r="G166" t="inlineStr">
        <is>
          <t>1</t>
        </is>
      </c>
      <c r="H166" t="inlineStr">
        <is>
          <t>No</t>
        </is>
      </c>
      <c r="I166" t="inlineStr">
        <is>
          <t>No</t>
        </is>
      </c>
      <c r="J166" t="inlineStr">
        <is>
          <t>0</t>
        </is>
      </c>
      <c r="K166" t="inlineStr">
        <is>
          <t>Nestler, Eric J.</t>
        </is>
      </c>
      <c r="L166" t="inlineStr">
        <is>
          <t>New York : Wiley, c1984.</t>
        </is>
      </c>
      <c r="M166" t="inlineStr">
        <is>
          <t>1984</t>
        </is>
      </c>
      <c r="O166" t="inlineStr">
        <is>
          <t>eng</t>
        </is>
      </c>
      <c r="P166" t="inlineStr">
        <is>
          <t>xxu</t>
        </is>
      </c>
      <c r="Q166" t="inlineStr">
        <is>
          <t>Neurosciences Institute monograph series</t>
        </is>
      </c>
      <c r="R166" t="inlineStr">
        <is>
          <t xml:space="preserve">QU </t>
        </is>
      </c>
      <c r="S166" t="n">
        <v>2</v>
      </c>
      <c r="T166" t="n">
        <v>2</v>
      </c>
      <c r="U166" t="inlineStr">
        <is>
          <t>1991-10-15</t>
        </is>
      </c>
      <c r="V166" t="inlineStr">
        <is>
          <t>1991-10-15</t>
        </is>
      </c>
      <c r="W166" t="inlineStr">
        <is>
          <t>1988-01-26</t>
        </is>
      </c>
      <c r="X166" t="inlineStr">
        <is>
          <t>1988-01-26</t>
        </is>
      </c>
      <c r="Y166" t="n">
        <v>236</v>
      </c>
      <c r="Z166" t="n">
        <v>181</v>
      </c>
      <c r="AA166" t="n">
        <v>188</v>
      </c>
      <c r="AB166" t="n">
        <v>1</v>
      </c>
      <c r="AC166" t="n">
        <v>1</v>
      </c>
      <c r="AD166" t="n">
        <v>8</v>
      </c>
      <c r="AE166" t="n">
        <v>8</v>
      </c>
      <c r="AF166" t="n">
        <v>2</v>
      </c>
      <c r="AG166" t="n">
        <v>2</v>
      </c>
      <c r="AH166" t="n">
        <v>4</v>
      </c>
      <c r="AI166" t="n">
        <v>4</v>
      </c>
      <c r="AJ166" t="n">
        <v>5</v>
      </c>
      <c r="AK166" t="n">
        <v>5</v>
      </c>
      <c r="AL166" t="n">
        <v>0</v>
      </c>
      <c r="AM166" t="n">
        <v>0</v>
      </c>
      <c r="AN166" t="n">
        <v>0</v>
      </c>
      <c r="AO166" t="n">
        <v>0</v>
      </c>
      <c r="AP166" t="inlineStr">
        <is>
          <t>No</t>
        </is>
      </c>
      <c r="AQ166" t="inlineStr">
        <is>
          <t>Yes</t>
        </is>
      </c>
      <c r="AR166">
        <f>HYPERLINK("http://catalog.hathitrust.org/Record/000122098","HathiTrust Record")</f>
        <v/>
      </c>
      <c r="AS166">
        <f>HYPERLINK("https://creighton-primo.hosted.exlibrisgroup.com/primo-explore/search?tab=default_tab&amp;search_scope=EVERYTHING&amp;vid=01CRU&amp;lang=en_US&amp;offset=0&amp;query=any,contains,991000897459702656","Catalog Record")</f>
        <v/>
      </c>
      <c r="AT166">
        <f>HYPERLINK("http://www.worldcat.org/oclc/10375770","WorldCat Record")</f>
        <v/>
      </c>
      <c r="AU166" t="inlineStr">
        <is>
          <t>3270003:eng</t>
        </is>
      </c>
      <c r="AV166" t="inlineStr">
        <is>
          <t>10375770</t>
        </is>
      </c>
      <c r="AW166" t="inlineStr">
        <is>
          <t>991000897459702656</t>
        </is>
      </c>
      <c r="AX166" t="inlineStr">
        <is>
          <t>991000897459702656</t>
        </is>
      </c>
      <c r="AY166" t="inlineStr">
        <is>
          <t>2254941320002656</t>
        </is>
      </c>
      <c r="AZ166" t="inlineStr">
        <is>
          <t>BOOK</t>
        </is>
      </c>
      <c r="BB166" t="inlineStr">
        <is>
          <t>9780471805588</t>
        </is>
      </c>
      <c r="BC166" t="inlineStr">
        <is>
          <t>30001000157943</t>
        </is>
      </c>
      <c r="BD166" t="inlineStr">
        <is>
          <t>893826143</t>
        </is>
      </c>
    </row>
    <row r="167">
      <c r="A167" t="inlineStr">
        <is>
          <t>No</t>
        </is>
      </c>
      <c r="B167" t="inlineStr">
        <is>
          <t>QU 55 N937 1991</t>
        </is>
      </c>
      <c r="C167" t="inlineStr">
        <is>
          <t>0                      QU 0055000N  937         1991</t>
        </is>
      </c>
      <c r="D167" t="inlineStr">
        <is>
          <t>Novel calcium-binding proteins : fundamentals and clinical implications / Claus W. Heizmann (ed).</t>
        </is>
      </c>
      <c r="F167" t="inlineStr">
        <is>
          <t>No</t>
        </is>
      </c>
      <c r="G167" t="inlineStr">
        <is>
          <t>1</t>
        </is>
      </c>
      <c r="H167" t="inlineStr">
        <is>
          <t>No</t>
        </is>
      </c>
      <c r="I167" t="inlineStr">
        <is>
          <t>No</t>
        </is>
      </c>
      <c r="J167" t="inlineStr">
        <is>
          <t>0</t>
        </is>
      </c>
      <c r="L167" t="inlineStr">
        <is>
          <t>Berlin ; New York : Springer-Verlag, c1991.</t>
        </is>
      </c>
      <c r="M167" t="inlineStr">
        <is>
          <t>1991</t>
        </is>
      </c>
      <c r="O167" t="inlineStr">
        <is>
          <t>eng</t>
        </is>
      </c>
      <c r="P167" t="inlineStr">
        <is>
          <t xml:space="preserve">gw </t>
        </is>
      </c>
      <c r="R167" t="inlineStr">
        <is>
          <t xml:space="preserve">QU </t>
        </is>
      </c>
      <c r="S167" t="n">
        <v>8</v>
      </c>
      <c r="T167" t="n">
        <v>8</v>
      </c>
      <c r="U167" t="inlineStr">
        <is>
          <t>1998-04-23</t>
        </is>
      </c>
      <c r="V167" t="inlineStr">
        <is>
          <t>1998-04-23</t>
        </is>
      </c>
      <c r="W167" t="inlineStr">
        <is>
          <t>1991-09-19</t>
        </is>
      </c>
      <c r="X167" t="inlineStr">
        <is>
          <t>1991-09-19</t>
        </is>
      </c>
      <c r="Y167" t="n">
        <v>116</v>
      </c>
      <c r="Z167" t="n">
        <v>65</v>
      </c>
      <c r="AA167" t="n">
        <v>94</v>
      </c>
      <c r="AB167" t="n">
        <v>1</v>
      </c>
      <c r="AC167" t="n">
        <v>1</v>
      </c>
      <c r="AD167" t="n">
        <v>1</v>
      </c>
      <c r="AE167" t="n">
        <v>2</v>
      </c>
      <c r="AF167" t="n">
        <v>0</v>
      </c>
      <c r="AG167" t="n">
        <v>1</v>
      </c>
      <c r="AH167" t="n">
        <v>1</v>
      </c>
      <c r="AI167" t="n">
        <v>1</v>
      </c>
      <c r="AJ167" t="n">
        <v>1</v>
      </c>
      <c r="AK167" t="n">
        <v>2</v>
      </c>
      <c r="AL167" t="n">
        <v>0</v>
      </c>
      <c r="AM167" t="n">
        <v>0</v>
      </c>
      <c r="AN167" t="n">
        <v>0</v>
      </c>
      <c r="AO167" t="n">
        <v>0</v>
      </c>
      <c r="AP167" t="inlineStr">
        <is>
          <t>No</t>
        </is>
      </c>
      <c r="AQ167" t="inlineStr">
        <is>
          <t>Yes</t>
        </is>
      </c>
      <c r="AR167">
        <f>HYPERLINK("http://catalog.hathitrust.org/Record/002478639","HathiTrust Record")</f>
        <v/>
      </c>
      <c r="AS167">
        <f>HYPERLINK("https://creighton-primo.hosted.exlibrisgroup.com/primo-explore/search?tab=default_tab&amp;search_scope=EVERYTHING&amp;vid=01CRU&amp;lang=en_US&amp;offset=0&amp;query=any,contains,991001016719702656","Catalog Record")</f>
        <v/>
      </c>
      <c r="AT167">
        <f>HYPERLINK("http://www.worldcat.org/oclc/23016364","WorldCat Record")</f>
        <v/>
      </c>
      <c r="AU167" t="inlineStr">
        <is>
          <t>865287574:eng</t>
        </is>
      </c>
      <c r="AV167" t="inlineStr">
        <is>
          <t>23016364</t>
        </is>
      </c>
      <c r="AW167" t="inlineStr">
        <is>
          <t>991001016719702656</t>
        </is>
      </c>
      <c r="AX167" t="inlineStr">
        <is>
          <t>991001016719702656</t>
        </is>
      </c>
      <c r="AY167" t="inlineStr">
        <is>
          <t>2264645820002656</t>
        </is>
      </c>
      <c r="AZ167" t="inlineStr">
        <is>
          <t>BOOK</t>
        </is>
      </c>
      <c r="BB167" t="inlineStr">
        <is>
          <t>9780387532776</t>
        </is>
      </c>
      <c r="BC167" t="inlineStr">
        <is>
          <t>30001002240796</t>
        </is>
      </c>
      <c r="BD167" t="inlineStr">
        <is>
          <t>893374207</t>
        </is>
      </c>
    </row>
    <row r="168">
      <c r="A168" t="inlineStr">
        <is>
          <t>No</t>
        </is>
      </c>
      <c r="B168" t="inlineStr">
        <is>
          <t>QU 55 P4242 1990</t>
        </is>
      </c>
      <c r="C168" t="inlineStr">
        <is>
          <t>0                      QU 0055000P  4242        1990</t>
        </is>
      </c>
      <c r="D168" t="inlineStr">
        <is>
          <t>Peptides and protein phosphorylation / editor, Bruce E. Kemp.</t>
        </is>
      </c>
      <c r="F168" t="inlineStr">
        <is>
          <t>No</t>
        </is>
      </c>
      <c r="G168" t="inlineStr">
        <is>
          <t>1</t>
        </is>
      </c>
      <c r="H168" t="inlineStr">
        <is>
          <t>No</t>
        </is>
      </c>
      <c r="I168" t="inlineStr">
        <is>
          <t>No</t>
        </is>
      </c>
      <c r="J168" t="inlineStr">
        <is>
          <t>0</t>
        </is>
      </c>
      <c r="L168" t="inlineStr">
        <is>
          <t>Boca Raton, Fla. : CRC Press, c1990.</t>
        </is>
      </c>
      <c r="M168" t="inlineStr">
        <is>
          <t>1990</t>
        </is>
      </c>
      <c r="O168" t="inlineStr">
        <is>
          <t>eng</t>
        </is>
      </c>
      <c r="P168" t="inlineStr">
        <is>
          <t>xxu</t>
        </is>
      </c>
      <c r="R168" t="inlineStr">
        <is>
          <t xml:space="preserve">QU </t>
        </is>
      </c>
      <c r="S168" t="n">
        <v>3</v>
      </c>
      <c r="T168" t="n">
        <v>3</v>
      </c>
      <c r="U168" t="inlineStr">
        <is>
          <t>1990-06-29</t>
        </is>
      </c>
      <c r="V168" t="inlineStr">
        <is>
          <t>1990-06-29</t>
        </is>
      </c>
      <c r="W168" t="inlineStr">
        <is>
          <t>1990-06-15</t>
        </is>
      </c>
      <c r="X168" t="inlineStr">
        <is>
          <t>1990-06-15</t>
        </is>
      </c>
      <c r="Y168" t="n">
        <v>149</v>
      </c>
      <c r="Z168" t="n">
        <v>112</v>
      </c>
      <c r="AA168" t="n">
        <v>154</v>
      </c>
      <c r="AB168" t="n">
        <v>2</v>
      </c>
      <c r="AC168" t="n">
        <v>2</v>
      </c>
      <c r="AD168" t="n">
        <v>7</v>
      </c>
      <c r="AE168" t="n">
        <v>7</v>
      </c>
      <c r="AF168" t="n">
        <v>2</v>
      </c>
      <c r="AG168" t="n">
        <v>2</v>
      </c>
      <c r="AH168" t="n">
        <v>3</v>
      </c>
      <c r="AI168" t="n">
        <v>3</v>
      </c>
      <c r="AJ168" t="n">
        <v>4</v>
      </c>
      <c r="AK168" t="n">
        <v>4</v>
      </c>
      <c r="AL168" t="n">
        <v>1</v>
      </c>
      <c r="AM168" t="n">
        <v>1</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HYPERLINK("https://creighton-primo.hosted.exlibrisgroup.com/primo-explore/search?tab=default_tab&amp;search_scope=EVERYTHING&amp;vid=01CRU&amp;lang=en_US&amp;offset=0&amp;query=any,contains,991001449019702656","Catalog Record")</f>
        <v/>
      </c>
      <c r="AT168">
        <f>HYPERLINK("http://www.worldcat.org/oclc/20489626","WorldCat Record")</f>
        <v/>
      </c>
      <c r="AU168" t="inlineStr">
        <is>
          <t>22618889:eng</t>
        </is>
      </c>
      <c r="AV168" t="inlineStr">
        <is>
          <t>20489626</t>
        </is>
      </c>
      <c r="AW168" t="inlineStr">
        <is>
          <t>991001449019702656</t>
        </is>
      </c>
      <c r="AX168" t="inlineStr">
        <is>
          <t>991001449019702656</t>
        </is>
      </c>
      <c r="AY168" t="inlineStr">
        <is>
          <t>2264953380002656</t>
        </is>
      </c>
      <c r="AZ168" t="inlineStr">
        <is>
          <t>BOOK</t>
        </is>
      </c>
      <c r="BB168" t="inlineStr">
        <is>
          <t>9780849365300</t>
        </is>
      </c>
      <c r="BC168" t="inlineStr">
        <is>
          <t>30001001882192</t>
        </is>
      </c>
      <c r="BD168" t="inlineStr">
        <is>
          <t>893557997</t>
        </is>
      </c>
    </row>
    <row r="169">
      <c r="A169" t="inlineStr">
        <is>
          <t>No</t>
        </is>
      </c>
      <c r="B169" t="inlineStr">
        <is>
          <t>QU 55 P451L 1993</t>
        </is>
      </c>
      <c r="C169" t="inlineStr">
        <is>
          <t>0                      QU 0055000P  451L        1993</t>
        </is>
      </c>
      <c r="D169" t="inlineStr">
        <is>
          <t>Luminescent spectroscopy of proteins / author, Eugene A. Permyakov.</t>
        </is>
      </c>
      <c r="F169" t="inlineStr">
        <is>
          <t>No</t>
        </is>
      </c>
      <c r="G169" t="inlineStr">
        <is>
          <t>1</t>
        </is>
      </c>
      <c r="H169" t="inlineStr">
        <is>
          <t>No</t>
        </is>
      </c>
      <c r="I169" t="inlineStr">
        <is>
          <t>No</t>
        </is>
      </c>
      <c r="J169" t="inlineStr">
        <is>
          <t>0</t>
        </is>
      </c>
      <c r="K169" t="inlineStr">
        <is>
          <t>Permi͡akov, E. A. (Evgeniĭ Anatolʹevich)</t>
        </is>
      </c>
      <c r="L169" t="inlineStr">
        <is>
          <t>Boca Raton, Fla. : CRC Press, c1993.</t>
        </is>
      </c>
      <c r="M169" t="inlineStr">
        <is>
          <t>1993</t>
        </is>
      </c>
      <c r="O169" t="inlineStr">
        <is>
          <t>eng</t>
        </is>
      </c>
      <c r="P169" t="inlineStr">
        <is>
          <t>flu</t>
        </is>
      </c>
      <c r="R169" t="inlineStr">
        <is>
          <t xml:space="preserve">QU </t>
        </is>
      </c>
      <c r="S169" t="n">
        <v>3</v>
      </c>
      <c r="T169" t="n">
        <v>3</v>
      </c>
      <c r="U169" t="inlineStr">
        <is>
          <t>1993-01-28</t>
        </is>
      </c>
      <c r="V169" t="inlineStr">
        <is>
          <t>1993-01-28</t>
        </is>
      </c>
      <c r="W169" t="inlineStr">
        <is>
          <t>1992-12-22</t>
        </is>
      </c>
      <c r="X169" t="inlineStr">
        <is>
          <t>1992-12-22</t>
        </is>
      </c>
      <c r="Y169" t="n">
        <v>172</v>
      </c>
      <c r="Z169" t="n">
        <v>135</v>
      </c>
      <c r="AA169" t="n">
        <v>175</v>
      </c>
      <c r="AB169" t="n">
        <v>1</v>
      </c>
      <c r="AC169" t="n">
        <v>1</v>
      </c>
      <c r="AD169" t="n">
        <v>4</v>
      </c>
      <c r="AE169" t="n">
        <v>4</v>
      </c>
      <c r="AF169" t="n">
        <v>1</v>
      </c>
      <c r="AG169" t="n">
        <v>1</v>
      </c>
      <c r="AH169" t="n">
        <v>2</v>
      </c>
      <c r="AI169" t="n">
        <v>2</v>
      </c>
      <c r="AJ169" t="n">
        <v>2</v>
      </c>
      <c r="AK169" t="n">
        <v>2</v>
      </c>
      <c r="AL169" t="n">
        <v>0</v>
      </c>
      <c r="AM169" t="n">
        <v>0</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HYPERLINK("https://creighton-primo.hosted.exlibrisgroup.com/primo-explore/search?tab=default_tab&amp;search_scope=EVERYTHING&amp;vid=01CRU&amp;lang=en_US&amp;offset=0&amp;query=any,contains,991001349619702656","Catalog Record")</f>
        <v/>
      </c>
      <c r="AT169">
        <f>HYPERLINK("http://www.worldcat.org/oclc/25916331","WorldCat Record")</f>
        <v/>
      </c>
      <c r="AU169" t="inlineStr">
        <is>
          <t>28551408:eng</t>
        </is>
      </c>
      <c r="AV169" t="inlineStr">
        <is>
          <t>25916331</t>
        </is>
      </c>
      <c r="AW169" t="inlineStr">
        <is>
          <t>991001349619702656</t>
        </is>
      </c>
      <c r="AX169" t="inlineStr">
        <is>
          <t>991001349619702656</t>
        </is>
      </c>
      <c r="AY169" t="inlineStr">
        <is>
          <t>2271222610002656</t>
        </is>
      </c>
      <c r="AZ169" t="inlineStr">
        <is>
          <t>BOOK</t>
        </is>
      </c>
      <c r="BB169" t="inlineStr">
        <is>
          <t>9780849345531</t>
        </is>
      </c>
      <c r="BC169" t="inlineStr">
        <is>
          <t>30001002458885</t>
        </is>
      </c>
      <c r="BD169" t="inlineStr">
        <is>
          <t>893821136</t>
        </is>
      </c>
    </row>
    <row r="170">
      <c r="A170" t="inlineStr">
        <is>
          <t>No</t>
        </is>
      </c>
      <c r="B170" t="inlineStr">
        <is>
          <t>QU 55 P471m 1990</t>
        </is>
      </c>
      <c r="C170" t="inlineStr">
        <is>
          <t>0                      QU 0055000P  471m        1990</t>
        </is>
      </c>
      <c r="D170" t="inlineStr">
        <is>
          <t>Mechanisms of cooperativity and allosteric regulation in proteins / Max Perutz.</t>
        </is>
      </c>
      <c r="F170" t="inlineStr">
        <is>
          <t>No</t>
        </is>
      </c>
      <c r="G170" t="inlineStr">
        <is>
          <t>1</t>
        </is>
      </c>
      <c r="H170" t="inlineStr">
        <is>
          <t>No</t>
        </is>
      </c>
      <c r="I170" t="inlineStr">
        <is>
          <t>No</t>
        </is>
      </c>
      <c r="J170" t="inlineStr">
        <is>
          <t>0</t>
        </is>
      </c>
      <c r="K170" t="inlineStr">
        <is>
          <t>Perutz, Max F.</t>
        </is>
      </c>
      <c r="L170" t="inlineStr">
        <is>
          <t>Cambridge ; New York : Cambridge University Press, c1990.</t>
        </is>
      </c>
      <c r="M170" t="inlineStr">
        <is>
          <t>1990</t>
        </is>
      </c>
      <c r="O170" t="inlineStr">
        <is>
          <t>eng</t>
        </is>
      </c>
      <c r="P170" t="inlineStr">
        <is>
          <t>enk</t>
        </is>
      </c>
      <c r="R170" t="inlineStr">
        <is>
          <t xml:space="preserve">QU </t>
        </is>
      </c>
      <c r="S170" t="n">
        <v>6</v>
      </c>
      <c r="T170" t="n">
        <v>6</v>
      </c>
      <c r="U170" t="inlineStr">
        <is>
          <t>2001-04-18</t>
        </is>
      </c>
      <c r="V170" t="inlineStr">
        <is>
          <t>2001-04-18</t>
        </is>
      </c>
      <c r="W170" t="inlineStr">
        <is>
          <t>1991-04-05</t>
        </is>
      </c>
      <c r="X170" t="inlineStr">
        <is>
          <t>1991-04-05</t>
        </is>
      </c>
      <c r="Y170" t="n">
        <v>288</v>
      </c>
      <c r="Z170" t="n">
        <v>185</v>
      </c>
      <c r="AA170" t="n">
        <v>190</v>
      </c>
      <c r="AB170" t="n">
        <v>2</v>
      </c>
      <c r="AC170" t="n">
        <v>2</v>
      </c>
      <c r="AD170" t="n">
        <v>7</v>
      </c>
      <c r="AE170" t="n">
        <v>7</v>
      </c>
      <c r="AF170" t="n">
        <v>2</v>
      </c>
      <c r="AG170" t="n">
        <v>2</v>
      </c>
      <c r="AH170" t="n">
        <v>2</v>
      </c>
      <c r="AI170" t="n">
        <v>2</v>
      </c>
      <c r="AJ170" t="n">
        <v>5</v>
      </c>
      <c r="AK170" t="n">
        <v>5</v>
      </c>
      <c r="AL170" t="n">
        <v>1</v>
      </c>
      <c r="AM170" t="n">
        <v>1</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HYPERLINK("https://creighton-primo.hosted.exlibrisgroup.com/primo-explore/search?tab=default_tab&amp;search_scope=EVERYTHING&amp;vid=01CRU&amp;lang=en_US&amp;offset=0&amp;query=any,contains,991000827159702656","Catalog Record")</f>
        <v/>
      </c>
      <c r="AT170">
        <f>HYPERLINK("http://www.worldcat.org/oclc/20722094","WorldCat Record")</f>
        <v/>
      </c>
      <c r="AU170" t="inlineStr">
        <is>
          <t>22346299:eng</t>
        </is>
      </c>
      <c r="AV170" t="inlineStr">
        <is>
          <t>20722094</t>
        </is>
      </c>
      <c r="AW170" t="inlineStr">
        <is>
          <t>991000827159702656</t>
        </is>
      </c>
      <c r="AX170" t="inlineStr">
        <is>
          <t>991000827159702656</t>
        </is>
      </c>
      <c r="AY170" t="inlineStr">
        <is>
          <t>2265154550002656</t>
        </is>
      </c>
      <c r="AZ170" t="inlineStr">
        <is>
          <t>BOOK</t>
        </is>
      </c>
      <c r="BB170" t="inlineStr">
        <is>
          <t>9780521386487</t>
        </is>
      </c>
      <c r="BC170" t="inlineStr">
        <is>
          <t>30001002089292</t>
        </is>
      </c>
      <c r="BD170" t="inlineStr">
        <is>
          <t>893287036</t>
        </is>
      </c>
    </row>
    <row r="171">
      <c r="A171" t="inlineStr">
        <is>
          <t>No</t>
        </is>
      </c>
      <c r="B171" t="inlineStr">
        <is>
          <t>QU 55 P471p 1992</t>
        </is>
      </c>
      <c r="C171" t="inlineStr">
        <is>
          <t>0                      QU 0055000P  471p        1992</t>
        </is>
      </c>
      <c r="D171" t="inlineStr">
        <is>
          <t>Protein structure : new approaches to disease and therapy / Max Perutz.</t>
        </is>
      </c>
      <c r="F171" t="inlineStr">
        <is>
          <t>No</t>
        </is>
      </c>
      <c r="G171" t="inlineStr">
        <is>
          <t>1</t>
        </is>
      </c>
      <c r="H171" t="inlineStr">
        <is>
          <t>No</t>
        </is>
      </c>
      <c r="I171" t="inlineStr">
        <is>
          <t>No</t>
        </is>
      </c>
      <c r="J171" t="inlineStr">
        <is>
          <t>0</t>
        </is>
      </c>
      <c r="K171" t="inlineStr">
        <is>
          <t>Perutz, Max F.</t>
        </is>
      </c>
      <c r="L171" t="inlineStr">
        <is>
          <t>New York : W.H. Freeman and Co., c1992.</t>
        </is>
      </c>
      <c r="M171" t="inlineStr">
        <is>
          <t>1992</t>
        </is>
      </c>
      <c r="O171" t="inlineStr">
        <is>
          <t>eng</t>
        </is>
      </c>
      <c r="P171" t="inlineStr">
        <is>
          <t>nyu</t>
        </is>
      </c>
      <c r="R171" t="inlineStr">
        <is>
          <t xml:space="preserve">QU </t>
        </is>
      </c>
      <c r="S171" t="n">
        <v>9</v>
      </c>
      <c r="T171" t="n">
        <v>9</v>
      </c>
      <c r="U171" t="inlineStr">
        <is>
          <t>1995-03-23</t>
        </is>
      </c>
      <c r="V171" t="inlineStr">
        <is>
          <t>1995-03-23</t>
        </is>
      </c>
      <c r="W171" t="inlineStr">
        <is>
          <t>1992-08-03</t>
        </is>
      </c>
      <c r="X171" t="inlineStr">
        <is>
          <t>1992-08-03</t>
        </is>
      </c>
      <c r="Y171" t="n">
        <v>411</v>
      </c>
      <c r="Z171" t="n">
        <v>268</v>
      </c>
      <c r="AA171" t="n">
        <v>274</v>
      </c>
      <c r="AB171" t="n">
        <v>2</v>
      </c>
      <c r="AC171" t="n">
        <v>2</v>
      </c>
      <c r="AD171" t="n">
        <v>11</v>
      </c>
      <c r="AE171" t="n">
        <v>11</v>
      </c>
      <c r="AF171" t="n">
        <v>3</v>
      </c>
      <c r="AG171" t="n">
        <v>3</v>
      </c>
      <c r="AH171" t="n">
        <v>4</v>
      </c>
      <c r="AI171" t="n">
        <v>4</v>
      </c>
      <c r="AJ171" t="n">
        <v>7</v>
      </c>
      <c r="AK171" t="n">
        <v>7</v>
      </c>
      <c r="AL171" t="n">
        <v>1</v>
      </c>
      <c r="AM171" t="n">
        <v>1</v>
      </c>
      <c r="AN171" t="n">
        <v>0</v>
      </c>
      <c r="AO171" t="n">
        <v>0</v>
      </c>
      <c r="AP171" t="inlineStr">
        <is>
          <t>No</t>
        </is>
      </c>
      <c r="AQ171" t="inlineStr">
        <is>
          <t>Yes</t>
        </is>
      </c>
      <c r="AR171">
        <f>HYPERLINK("http://catalog.hathitrust.org/Record/002587973","HathiTrust Record")</f>
        <v/>
      </c>
      <c r="AS171">
        <f>HYPERLINK("https://creighton-primo.hosted.exlibrisgroup.com/primo-explore/search?tab=default_tab&amp;search_scope=EVERYTHING&amp;vid=01CRU&amp;lang=en_US&amp;offset=0&amp;query=any,contains,991001305839702656","Catalog Record")</f>
        <v/>
      </c>
      <c r="AT171">
        <f>HYPERLINK("http://www.worldcat.org/oclc/25200956","WorldCat Record")</f>
        <v/>
      </c>
      <c r="AU171" t="inlineStr">
        <is>
          <t>836865252:eng</t>
        </is>
      </c>
      <c r="AV171" t="inlineStr">
        <is>
          <t>25200956</t>
        </is>
      </c>
      <c r="AW171" t="inlineStr">
        <is>
          <t>991001305839702656</t>
        </is>
      </c>
      <c r="AX171" t="inlineStr">
        <is>
          <t>991001305839702656</t>
        </is>
      </c>
      <c r="AY171" t="inlineStr">
        <is>
          <t>2265970530002656</t>
        </is>
      </c>
      <c r="AZ171" t="inlineStr">
        <is>
          <t>BOOK</t>
        </is>
      </c>
      <c r="BB171" t="inlineStr">
        <is>
          <t>9780716723103</t>
        </is>
      </c>
      <c r="BC171" t="inlineStr">
        <is>
          <t>30001002413823</t>
        </is>
      </c>
      <c r="BD171" t="inlineStr">
        <is>
          <t>893278970</t>
        </is>
      </c>
    </row>
    <row r="172">
      <c r="A172" t="inlineStr">
        <is>
          <t>No</t>
        </is>
      </c>
      <c r="B172" t="inlineStr">
        <is>
          <t>QU 55 P716 1985</t>
        </is>
      </c>
      <c r="C172" t="inlineStr">
        <is>
          <t>0                      QU 0055000P  716         1985</t>
        </is>
      </c>
      <c r="D172" t="inlineStr">
        <is>
          <t>Platelet membrane glycoproteins / edited by James N. George, Alan T. Nurden, and David R. Phillips.</t>
        </is>
      </c>
      <c r="F172" t="inlineStr">
        <is>
          <t>No</t>
        </is>
      </c>
      <c r="G172" t="inlineStr">
        <is>
          <t>1</t>
        </is>
      </c>
      <c r="H172" t="inlineStr">
        <is>
          <t>No</t>
        </is>
      </c>
      <c r="I172" t="inlineStr">
        <is>
          <t>No</t>
        </is>
      </c>
      <c r="J172" t="inlineStr">
        <is>
          <t>0</t>
        </is>
      </c>
      <c r="L172" t="inlineStr">
        <is>
          <t>New York : Plenum Press, c1985.</t>
        </is>
      </c>
      <c r="M172" t="inlineStr">
        <is>
          <t>1985</t>
        </is>
      </c>
      <c r="O172" t="inlineStr">
        <is>
          <t>eng</t>
        </is>
      </c>
      <c r="P172" t="inlineStr">
        <is>
          <t>xxu</t>
        </is>
      </c>
      <c r="R172" t="inlineStr">
        <is>
          <t xml:space="preserve">QU </t>
        </is>
      </c>
      <c r="S172" t="n">
        <v>7</v>
      </c>
      <c r="T172" t="n">
        <v>7</v>
      </c>
      <c r="U172" t="inlineStr">
        <is>
          <t>1998-08-07</t>
        </is>
      </c>
      <c r="V172" t="inlineStr">
        <is>
          <t>1998-08-07</t>
        </is>
      </c>
      <c r="W172" t="inlineStr">
        <is>
          <t>1988-01-26</t>
        </is>
      </c>
      <c r="X172" t="inlineStr">
        <is>
          <t>1988-01-26</t>
        </is>
      </c>
      <c r="Y172" t="n">
        <v>190</v>
      </c>
      <c r="Z172" t="n">
        <v>149</v>
      </c>
      <c r="AA172" t="n">
        <v>166</v>
      </c>
      <c r="AB172" t="n">
        <v>2</v>
      </c>
      <c r="AC172" t="n">
        <v>2</v>
      </c>
      <c r="AD172" t="n">
        <v>6</v>
      </c>
      <c r="AE172" t="n">
        <v>7</v>
      </c>
      <c r="AF172" t="n">
        <v>0</v>
      </c>
      <c r="AG172" t="n">
        <v>1</v>
      </c>
      <c r="AH172" t="n">
        <v>3</v>
      </c>
      <c r="AI172" t="n">
        <v>3</v>
      </c>
      <c r="AJ172" t="n">
        <v>4</v>
      </c>
      <c r="AK172" t="n">
        <v>5</v>
      </c>
      <c r="AL172" t="n">
        <v>1</v>
      </c>
      <c r="AM172" t="n">
        <v>1</v>
      </c>
      <c r="AN172" t="n">
        <v>0</v>
      </c>
      <c r="AO172" t="n">
        <v>0</v>
      </c>
      <c r="AP172" t="inlineStr">
        <is>
          <t>No</t>
        </is>
      </c>
      <c r="AQ172" t="inlineStr">
        <is>
          <t>Yes</t>
        </is>
      </c>
      <c r="AR172">
        <f>HYPERLINK("http://catalog.hathitrust.org/Record/000462017","HathiTrust Record")</f>
        <v/>
      </c>
      <c r="AS172">
        <f>HYPERLINK("https://creighton-primo.hosted.exlibrisgroup.com/primo-explore/search?tab=default_tab&amp;search_scope=EVERYTHING&amp;vid=01CRU&amp;lang=en_US&amp;offset=0&amp;query=any,contains,991000897509702656","Catalog Record")</f>
        <v/>
      </c>
      <c r="AT172">
        <f>HYPERLINK("http://www.worldcat.org/oclc/11785625","WorldCat Record")</f>
        <v/>
      </c>
      <c r="AU172" t="inlineStr">
        <is>
          <t>355499896:eng</t>
        </is>
      </c>
      <c r="AV172" t="inlineStr">
        <is>
          <t>11785625</t>
        </is>
      </c>
      <c r="AW172" t="inlineStr">
        <is>
          <t>991000897509702656</t>
        </is>
      </c>
      <c r="AX172" t="inlineStr">
        <is>
          <t>991000897509702656</t>
        </is>
      </c>
      <c r="AY172" t="inlineStr">
        <is>
          <t>2261268410002656</t>
        </is>
      </c>
      <c r="AZ172" t="inlineStr">
        <is>
          <t>BOOK</t>
        </is>
      </c>
      <c r="BB172" t="inlineStr">
        <is>
          <t>9780306418570</t>
        </is>
      </c>
      <c r="BC172" t="inlineStr">
        <is>
          <t>30001000158024</t>
        </is>
      </c>
      <c r="BD172" t="inlineStr">
        <is>
          <t>893278397</t>
        </is>
      </c>
    </row>
    <row r="173">
      <c r="A173" t="inlineStr">
        <is>
          <t>No</t>
        </is>
      </c>
      <c r="B173" t="inlineStr">
        <is>
          <t>QU 55 P9641 1998</t>
        </is>
      </c>
      <c r="C173" t="inlineStr">
        <is>
          <t>0                      QU 0055000P  9641        1998</t>
        </is>
      </c>
      <c r="D173" t="inlineStr">
        <is>
          <t>Prolyl hydroxylase, protein disulfide isomerase, and other structurally related proteins / edited by Norberto A. Guzman.</t>
        </is>
      </c>
      <c r="F173" t="inlineStr">
        <is>
          <t>No</t>
        </is>
      </c>
      <c r="G173" t="inlineStr">
        <is>
          <t>1</t>
        </is>
      </c>
      <c r="H173" t="inlineStr">
        <is>
          <t>No</t>
        </is>
      </c>
      <c r="I173" t="inlineStr">
        <is>
          <t>No</t>
        </is>
      </c>
      <c r="J173" t="inlineStr">
        <is>
          <t>0</t>
        </is>
      </c>
      <c r="L173" t="inlineStr">
        <is>
          <t>New York : Marcel Dekker, c1998.</t>
        </is>
      </c>
      <c r="M173" t="inlineStr">
        <is>
          <t>1998</t>
        </is>
      </c>
      <c r="O173" t="inlineStr">
        <is>
          <t>eng</t>
        </is>
      </c>
      <c r="P173" t="inlineStr">
        <is>
          <t>nyu</t>
        </is>
      </c>
      <c r="R173" t="inlineStr">
        <is>
          <t xml:space="preserve">QU </t>
        </is>
      </c>
      <c r="S173" t="n">
        <v>4</v>
      </c>
      <c r="T173" t="n">
        <v>4</v>
      </c>
      <c r="U173" t="inlineStr">
        <is>
          <t>2001-10-09</t>
        </is>
      </c>
      <c r="V173" t="inlineStr">
        <is>
          <t>2001-10-09</t>
        </is>
      </c>
      <c r="W173" t="inlineStr">
        <is>
          <t>1998-04-14</t>
        </is>
      </c>
      <c r="X173" t="inlineStr">
        <is>
          <t>1998-04-14</t>
        </is>
      </c>
      <c r="Y173" t="n">
        <v>88</v>
      </c>
      <c r="Z173" t="n">
        <v>70</v>
      </c>
      <c r="AA173" t="n">
        <v>86</v>
      </c>
      <c r="AB173" t="n">
        <v>2</v>
      </c>
      <c r="AC173" t="n">
        <v>2</v>
      </c>
      <c r="AD173" t="n">
        <v>3</v>
      </c>
      <c r="AE173" t="n">
        <v>3</v>
      </c>
      <c r="AF173" t="n">
        <v>0</v>
      </c>
      <c r="AG173" t="n">
        <v>0</v>
      </c>
      <c r="AH173" t="n">
        <v>1</v>
      </c>
      <c r="AI173" t="n">
        <v>1</v>
      </c>
      <c r="AJ173" t="n">
        <v>1</v>
      </c>
      <c r="AK173" t="n">
        <v>1</v>
      </c>
      <c r="AL173" t="n">
        <v>1</v>
      </c>
      <c r="AM173" t="n">
        <v>1</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HYPERLINK("https://creighton-primo.hosted.exlibrisgroup.com/primo-explore/search?tab=default_tab&amp;search_scope=EVERYTHING&amp;vid=01CRU&amp;lang=en_US&amp;offset=0&amp;query=any,contains,991000740929702656","Catalog Record")</f>
        <v/>
      </c>
      <c r="AT173">
        <f>HYPERLINK("http://www.worldcat.org/oclc/37211201","WorldCat Record")</f>
        <v/>
      </c>
      <c r="AU173" t="inlineStr">
        <is>
          <t>56191726:eng</t>
        </is>
      </c>
      <c r="AV173" t="inlineStr">
        <is>
          <t>37211201</t>
        </is>
      </c>
      <c r="AW173" t="inlineStr">
        <is>
          <t>991000740929702656</t>
        </is>
      </c>
      <c r="AX173" t="inlineStr">
        <is>
          <t>991000740929702656</t>
        </is>
      </c>
      <c r="AY173" t="inlineStr">
        <is>
          <t>2258914190002656</t>
        </is>
      </c>
      <c r="AZ173" t="inlineStr">
        <is>
          <t>BOOK</t>
        </is>
      </c>
      <c r="BB173" t="inlineStr">
        <is>
          <t>9780824798314</t>
        </is>
      </c>
      <c r="BC173" t="inlineStr">
        <is>
          <t>30001004051332</t>
        </is>
      </c>
      <c r="BD173" t="inlineStr">
        <is>
          <t>893454793</t>
        </is>
      </c>
    </row>
    <row r="174">
      <c r="A174" t="inlineStr">
        <is>
          <t>No</t>
        </is>
      </c>
      <c r="B174" t="inlineStr">
        <is>
          <t>QU 55 P966245 1992</t>
        </is>
      </c>
      <c r="C174" t="inlineStr">
        <is>
          <t>0                      QU 0055000P  966245      1992</t>
        </is>
      </c>
      <c r="D174" t="inlineStr">
        <is>
          <t>Protein engineering : a practical approach / edited by Anthony R. Rees, Michael J.E. Sternberg, and Ronald Wetzel.</t>
        </is>
      </c>
      <c r="F174" t="inlineStr">
        <is>
          <t>No</t>
        </is>
      </c>
      <c r="G174" t="inlineStr">
        <is>
          <t>1</t>
        </is>
      </c>
      <c r="H174" t="inlineStr">
        <is>
          <t>No</t>
        </is>
      </c>
      <c r="I174" t="inlineStr">
        <is>
          <t>No</t>
        </is>
      </c>
      <c r="J174" t="inlineStr">
        <is>
          <t>0</t>
        </is>
      </c>
      <c r="L174" t="inlineStr">
        <is>
          <t>Oxford ; New York : IRL Press at Oxford University Press, c1992.</t>
        </is>
      </c>
      <c r="M174" t="inlineStr">
        <is>
          <t>1992</t>
        </is>
      </c>
      <c r="N174" t="inlineStr">
        <is>
          <t>1st ed.</t>
        </is>
      </c>
      <c r="O174" t="inlineStr">
        <is>
          <t>eng</t>
        </is>
      </c>
      <c r="P174" t="inlineStr">
        <is>
          <t>enk</t>
        </is>
      </c>
      <c r="Q174" t="inlineStr">
        <is>
          <t>The Practical approach series.</t>
        </is>
      </c>
      <c r="R174" t="inlineStr">
        <is>
          <t xml:space="preserve">QU </t>
        </is>
      </c>
      <c r="S174" t="n">
        <v>14</v>
      </c>
      <c r="T174" t="n">
        <v>14</v>
      </c>
      <c r="U174" t="inlineStr">
        <is>
          <t>2001-11-10</t>
        </is>
      </c>
      <c r="V174" t="inlineStr">
        <is>
          <t>2001-11-10</t>
        </is>
      </c>
      <c r="W174" t="inlineStr">
        <is>
          <t>1993-03-16</t>
        </is>
      </c>
      <c r="X174" t="inlineStr">
        <is>
          <t>1993-03-16</t>
        </is>
      </c>
      <c r="Y174" t="n">
        <v>242</v>
      </c>
      <c r="Z174" t="n">
        <v>141</v>
      </c>
      <c r="AA174" t="n">
        <v>146</v>
      </c>
      <c r="AB174" t="n">
        <v>1</v>
      </c>
      <c r="AC174" t="n">
        <v>1</v>
      </c>
      <c r="AD174" t="n">
        <v>2</v>
      </c>
      <c r="AE174" t="n">
        <v>2</v>
      </c>
      <c r="AF174" t="n">
        <v>0</v>
      </c>
      <c r="AG174" t="n">
        <v>0</v>
      </c>
      <c r="AH174" t="n">
        <v>2</v>
      </c>
      <c r="AI174" t="n">
        <v>2</v>
      </c>
      <c r="AJ174" t="n">
        <v>1</v>
      </c>
      <c r="AK174" t="n">
        <v>1</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HYPERLINK("https://creighton-primo.hosted.exlibrisgroup.com/primo-explore/search?tab=default_tab&amp;search_scope=EVERYTHING&amp;vid=01CRU&amp;lang=en_US&amp;offset=0&amp;query=any,contains,991001482159702656","Catalog Record")</f>
        <v/>
      </c>
      <c r="AT174">
        <f>HYPERLINK("http://www.worldcat.org/oclc/26505481","WorldCat Record")</f>
        <v/>
      </c>
      <c r="AU174" t="inlineStr">
        <is>
          <t>806836208:eng</t>
        </is>
      </c>
      <c r="AV174" t="inlineStr">
        <is>
          <t>26505481</t>
        </is>
      </c>
      <c r="AW174" t="inlineStr">
        <is>
          <t>991001482159702656</t>
        </is>
      </c>
      <c r="AX174" t="inlineStr">
        <is>
          <t>991001482159702656</t>
        </is>
      </c>
      <c r="AY174" t="inlineStr">
        <is>
          <t>2255377210002656</t>
        </is>
      </c>
      <c r="AZ174" t="inlineStr">
        <is>
          <t>BOOK</t>
        </is>
      </c>
      <c r="BB174" t="inlineStr">
        <is>
          <t>9780199631384</t>
        </is>
      </c>
      <c r="BC174" t="inlineStr">
        <is>
          <t>30001002570192</t>
        </is>
      </c>
      <c r="BD174" t="inlineStr">
        <is>
          <t>893649260</t>
        </is>
      </c>
    </row>
    <row r="175">
      <c r="A175" t="inlineStr">
        <is>
          <t>No</t>
        </is>
      </c>
      <c r="B175" t="inlineStr">
        <is>
          <t>QU 55 P9663 1979</t>
        </is>
      </c>
      <c r="C175" t="inlineStr">
        <is>
          <t>0                      QU 0055000P  9663        1979</t>
        </is>
      </c>
      <c r="D175" t="inlineStr">
        <is>
          <t>Protein folding : proceedings of the 28th Conference of the German Biochemical Society, held at the University of Regensburg, Regensburg, West Germany, September 10-12, 1979 / edited by Ranier Jaenicke.</t>
        </is>
      </c>
      <c r="F175" t="inlineStr">
        <is>
          <t>No</t>
        </is>
      </c>
      <c r="G175" t="inlineStr">
        <is>
          <t>1</t>
        </is>
      </c>
      <c r="H175" t="inlineStr">
        <is>
          <t>No</t>
        </is>
      </c>
      <c r="I175" t="inlineStr">
        <is>
          <t>No</t>
        </is>
      </c>
      <c r="J175" t="inlineStr">
        <is>
          <t>0</t>
        </is>
      </c>
      <c r="L175" t="inlineStr">
        <is>
          <t>Amsterdam ; New York : Elsevier/North-Holland Biomedical Press, c1980.</t>
        </is>
      </c>
      <c r="M175" t="inlineStr">
        <is>
          <t>1980</t>
        </is>
      </c>
      <c r="O175" t="inlineStr">
        <is>
          <t>eng</t>
        </is>
      </c>
      <c r="P175" t="inlineStr">
        <is>
          <t xml:space="preserve">ne </t>
        </is>
      </c>
      <c r="R175" t="inlineStr">
        <is>
          <t xml:space="preserve">QU </t>
        </is>
      </c>
      <c r="S175" t="n">
        <v>2</v>
      </c>
      <c r="T175" t="n">
        <v>2</v>
      </c>
      <c r="U175" t="inlineStr">
        <is>
          <t>1991-04-22</t>
        </is>
      </c>
      <c r="V175" t="inlineStr">
        <is>
          <t>1991-04-22</t>
        </is>
      </c>
      <c r="W175" t="inlineStr">
        <is>
          <t>1987-12-30</t>
        </is>
      </c>
      <c r="X175" t="inlineStr">
        <is>
          <t>1987-12-30</t>
        </is>
      </c>
      <c r="Y175" t="n">
        <v>163</v>
      </c>
      <c r="Z175" t="n">
        <v>116</v>
      </c>
      <c r="AA175" t="n">
        <v>118</v>
      </c>
      <c r="AB175" t="n">
        <v>2</v>
      </c>
      <c r="AC175" t="n">
        <v>2</v>
      </c>
      <c r="AD175" t="n">
        <v>2</v>
      </c>
      <c r="AE175" t="n">
        <v>2</v>
      </c>
      <c r="AF175" t="n">
        <v>0</v>
      </c>
      <c r="AG175" t="n">
        <v>0</v>
      </c>
      <c r="AH175" t="n">
        <v>0</v>
      </c>
      <c r="AI175" t="n">
        <v>0</v>
      </c>
      <c r="AJ175" t="n">
        <v>1</v>
      </c>
      <c r="AK175" t="n">
        <v>1</v>
      </c>
      <c r="AL175" t="n">
        <v>1</v>
      </c>
      <c r="AM175" t="n">
        <v>1</v>
      </c>
      <c r="AN175" t="n">
        <v>0</v>
      </c>
      <c r="AO175" t="n">
        <v>0</v>
      </c>
      <c r="AP175" t="inlineStr">
        <is>
          <t>No</t>
        </is>
      </c>
      <c r="AQ175" t="inlineStr">
        <is>
          <t>Yes</t>
        </is>
      </c>
      <c r="AR175">
        <f>HYPERLINK("http://catalog.hathitrust.org/Record/000716616","HathiTrust Record")</f>
        <v/>
      </c>
      <c r="AS175">
        <f>HYPERLINK("https://creighton-primo.hosted.exlibrisgroup.com/primo-explore/search?tab=default_tab&amp;search_scope=EVERYTHING&amp;vid=01CRU&amp;lang=en_US&amp;offset=0&amp;query=any,contains,991000897629702656","Catalog Record")</f>
        <v/>
      </c>
      <c r="AT175">
        <f>HYPERLINK("http://www.worldcat.org/oclc/7731657","WorldCat Record")</f>
        <v/>
      </c>
      <c r="AU175" t="inlineStr">
        <is>
          <t>899615651:eng</t>
        </is>
      </c>
      <c r="AV175" t="inlineStr">
        <is>
          <t>7731657</t>
        </is>
      </c>
      <c r="AW175" t="inlineStr">
        <is>
          <t>991000897629702656</t>
        </is>
      </c>
      <c r="AX175" t="inlineStr">
        <is>
          <t>991000897629702656</t>
        </is>
      </c>
      <c r="AY175" t="inlineStr">
        <is>
          <t>2271235090002656</t>
        </is>
      </c>
      <c r="AZ175" t="inlineStr">
        <is>
          <t>BOOK</t>
        </is>
      </c>
      <c r="BB175" t="inlineStr">
        <is>
          <t>9780444801975</t>
        </is>
      </c>
      <c r="BC175" t="inlineStr">
        <is>
          <t>30001000158065</t>
        </is>
      </c>
      <c r="BD175" t="inlineStr">
        <is>
          <t>893637750</t>
        </is>
      </c>
    </row>
    <row r="176">
      <c r="A176" t="inlineStr">
        <is>
          <t>No</t>
        </is>
      </c>
      <c r="B176" t="inlineStr">
        <is>
          <t>QU 55 P9664 1996</t>
        </is>
      </c>
      <c r="C176" t="inlineStr">
        <is>
          <t>0                      QU 0055000P  9664        1996</t>
        </is>
      </c>
      <c r="D176" t="inlineStr">
        <is>
          <t>Protein folds : a distance-based approach / edited by Henrik Bohr and Søren Brunak.</t>
        </is>
      </c>
      <c r="F176" t="inlineStr">
        <is>
          <t>No</t>
        </is>
      </c>
      <c r="G176" t="inlineStr">
        <is>
          <t>1</t>
        </is>
      </c>
      <c r="H176" t="inlineStr">
        <is>
          <t>No</t>
        </is>
      </c>
      <c r="I176" t="inlineStr">
        <is>
          <t>No</t>
        </is>
      </c>
      <c r="J176" t="inlineStr">
        <is>
          <t>0</t>
        </is>
      </c>
      <c r="L176" t="inlineStr">
        <is>
          <t>Boca Raton : CRC Press, c1996.</t>
        </is>
      </c>
      <c r="M176" t="inlineStr">
        <is>
          <t>1996</t>
        </is>
      </c>
      <c r="O176" t="inlineStr">
        <is>
          <t>eng</t>
        </is>
      </c>
      <c r="P176" t="inlineStr">
        <is>
          <t>flu</t>
        </is>
      </c>
      <c r="R176" t="inlineStr">
        <is>
          <t xml:space="preserve">QU </t>
        </is>
      </c>
      <c r="S176" t="n">
        <v>1</v>
      </c>
      <c r="T176" t="n">
        <v>1</v>
      </c>
      <c r="U176" t="inlineStr">
        <is>
          <t>1997-06-09</t>
        </is>
      </c>
      <c r="V176" t="inlineStr">
        <is>
          <t>1997-06-09</t>
        </is>
      </c>
      <c r="W176" t="inlineStr">
        <is>
          <t>1997-06-09</t>
        </is>
      </c>
      <c r="X176" t="inlineStr">
        <is>
          <t>1997-06-09</t>
        </is>
      </c>
      <c r="Y176" t="n">
        <v>145</v>
      </c>
      <c r="Z176" t="n">
        <v>100</v>
      </c>
      <c r="AA176" t="n">
        <v>105</v>
      </c>
      <c r="AB176" t="n">
        <v>2</v>
      </c>
      <c r="AC176" t="n">
        <v>2</v>
      </c>
      <c r="AD176" t="n">
        <v>3</v>
      </c>
      <c r="AE176" t="n">
        <v>3</v>
      </c>
      <c r="AF176" t="n">
        <v>0</v>
      </c>
      <c r="AG176" t="n">
        <v>0</v>
      </c>
      <c r="AH176" t="n">
        <v>0</v>
      </c>
      <c r="AI176" t="n">
        <v>0</v>
      </c>
      <c r="AJ176" t="n">
        <v>2</v>
      </c>
      <c r="AK176" t="n">
        <v>2</v>
      </c>
      <c r="AL176" t="n">
        <v>1</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HYPERLINK("https://creighton-primo.hosted.exlibrisgroup.com/primo-explore/search?tab=default_tab&amp;search_scope=EVERYTHING&amp;vid=01CRU&amp;lang=en_US&amp;offset=0&amp;query=any,contains,991001560709702656","Catalog Record")</f>
        <v/>
      </c>
      <c r="AT176">
        <f>HYPERLINK("http://www.worldcat.org/oclc/32891073","WorldCat Record")</f>
        <v/>
      </c>
      <c r="AU176" t="inlineStr">
        <is>
          <t>836969116:eng</t>
        </is>
      </c>
      <c r="AV176" t="inlineStr">
        <is>
          <t>32891073</t>
        </is>
      </c>
      <c r="AW176" t="inlineStr">
        <is>
          <t>991001560709702656</t>
        </is>
      </c>
      <c r="AX176" t="inlineStr">
        <is>
          <t>991001560709702656</t>
        </is>
      </c>
      <c r="AY176" t="inlineStr">
        <is>
          <t>2256648100002656</t>
        </is>
      </c>
      <c r="AZ176" t="inlineStr">
        <is>
          <t>BOOK</t>
        </is>
      </c>
      <c r="BB176" t="inlineStr">
        <is>
          <t>9780849340093</t>
        </is>
      </c>
      <c r="BC176" t="inlineStr">
        <is>
          <t>30001003672534</t>
        </is>
      </c>
      <c r="BD176" t="inlineStr">
        <is>
          <t>893284907</t>
        </is>
      </c>
    </row>
    <row r="177">
      <c r="A177" t="inlineStr">
        <is>
          <t>No</t>
        </is>
      </c>
      <c r="B177" t="inlineStr">
        <is>
          <t>QU 55 P967 1989</t>
        </is>
      </c>
      <c r="C177" t="inlineStr">
        <is>
          <t>0                      QU 0055000P  967         1989</t>
        </is>
      </c>
      <c r="D177" t="inlineStr">
        <is>
          <t>Protein purification methods : a practical approach / edited by E.L.V. Harris and S. Angal.</t>
        </is>
      </c>
      <c r="F177" t="inlineStr">
        <is>
          <t>No</t>
        </is>
      </c>
      <c r="G177" t="inlineStr">
        <is>
          <t>1</t>
        </is>
      </c>
      <c r="H177" t="inlineStr">
        <is>
          <t>No</t>
        </is>
      </c>
      <c r="I177" t="inlineStr">
        <is>
          <t>No</t>
        </is>
      </c>
      <c r="J177" t="inlineStr">
        <is>
          <t>0</t>
        </is>
      </c>
      <c r="L177" t="inlineStr">
        <is>
          <t>Oxford ; New York : IRL Press at Oxford University Press, c1989.</t>
        </is>
      </c>
      <c r="M177" t="inlineStr">
        <is>
          <t>1989</t>
        </is>
      </c>
      <c r="O177" t="inlineStr">
        <is>
          <t>eng</t>
        </is>
      </c>
      <c r="P177" t="inlineStr">
        <is>
          <t>enk</t>
        </is>
      </c>
      <c r="Q177" t="inlineStr">
        <is>
          <t>The Practical approach series.</t>
        </is>
      </c>
      <c r="R177" t="inlineStr">
        <is>
          <t xml:space="preserve">QU </t>
        </is>
      </c>
      <c r="S177" t="n">
        <v>28</v>
      </c>
      <c r="T177" t="n">
        <v>28</v>
      </c>
      <c r="U177" t="inlineStr">
        <is>
          <t>2003-05-30</t>
        </is>
      </c>
      <c r="V177" t="inlineStr">
        <is>
          <t>2003-05-30</t>
        </is>
      </c>
      <c r="W177" t="inlineStr">
        <is>
          <t>1991-01-14</t>
        </is>
      </c>
      <c r="X177" t="inlineStr">
        <is>
          <t>1991-01-14</t>
        </is>
      </c>
      <c r="Y177" t="n">
        <v>424</v>
      </c>
      <c r="Z177" t="n">
        <v>252</v>
      </c>
      <c r="AA177" t="n">
        <v>259</v>
      </c>
      <c r="AB177" t="n">
        <v>3</v>
      </c>
      <c r="AC177" t="n">
        <v>3</v>
      </c>
      <c r="AD177" t="n">
        <v>9</v>
      </c>
      <c r="AE177" t="n">
        <v>9</v>
      </c>
      <c r="AF177" t="n">
        <v>1</v>
      </c>
      <c r="AG177" t="n">
        <v>1</v>
      </c>
      <c r="AH177" t="n">
        <v>4</v>
      </c>
      <c r="AI177" t="n">
        <v>4</v>
      </c>
      <c r="AJ177" t="n">
        <v>5</v>
      </c>
      <c r="AK177" t="n">
        <v>5</v>
      </c>
      <c r="AL177" t="n">
        <v>1</v>
      </c>
      <c r="AM177" t="n">
        <v>1</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HYPERLINK("https://creighton-primo.hosted.exlibrisgroup.com/primo-explore/search?tab=default_tab&amp;search_scope=EVERYTHING&amp;vid=01CRU&amp;lang=en_US&amp;offset=0&amp;query=any,contains,991000761639702656","Catalog Record")</f>
        <v/>
      </c>
      <c r="AT177">
        <f>HYPERLINK("http://www.worldcat.org/oclc/19321742","WorldCat Record")</f>
        <v/>
      </c>
      <c r="AU177" t="inlineStr">
        <is>
          <t>798432485:eng</t>
        </is>
      </c>
      <c r="AV177" t="inlineStr">
        <is>
          <t>19321742</t>
        </is>
      </c>
      <c r="AW177" t="inlineStr">
        <is>
          <t>991000761639702656</t>
        </is>
      </c>
      <c r="AX177" t="inlineStr">
        <is>
          <t>991000761639702656</t>
        </is>
      </c>
      <c r="AY177" t="inlineStr">
        <is>
          <t>2261747410002656</t>
        </is>
      </c>
      <c r="AZ177" t="inlineStr">
        <is>
          <t>BOOK</t>
        </is>
      </c>
      <c r="BB177" t="inlineStr">
        <is>
          <t>9780199630035</t>
        </is>
      </c>
      <c r="BC177" t="inlineStr">
        <is>
          <t>30001002060269</t>
        </is>
      </c>
      <c r="BD177" t="inlineStr">
        <is>
          <t>893831207</t>
        </is>
      </c>
    </row>
    <row r="178">
      <c r="A178" t="inlineStr">
        <is>
          <t>No</t>
        </is>
      </c>
      <c r="B178" t="inlineStr">
        <is>
          <t>QU 55 P967 1991</t>
        </is>
      </c>
      <c r="C178" t="inlineStr">
        <is>
          <t>0                      QU 0055000P  967         1991</t>
        </is>
      </c>
      <c r="D178" t="inlineStr">
        <is>
          <t>Protein structure determination / edited by Clarence H. Suelter.</t>
        </is>
      </c>
      <c r="F178" t="inlineStr">
        <is>
          <t>No</t>
        </is>
      </c>
      <c r="G178" t="inlineStr">
        <is>
          <t>1</t>
        </is>
      </c>
      <c r="H178" t="inlineStr">
        <is>
          <t>No</t>
        </is>
      </c>
      <c r="I178" t="inlineStr">
        <is>
          <t>No</t>
        </is>
      </c>
      <c r="J178" t="inlineStr">
        <is>
          <t>0</t>
        </is>
      </c>
      <c r="L178" t="inlineStr">
        <is>
          <t>New York : Wiley, c1991</t>
        </is>
      </c>
      <c r="M178" t="inlineStr">
        <is>
          <t>1991</t>
        </is>
      </c>
      <c r="O178" t="inlineStr">
        <is>
          <t>eng</t>
        </is>
      </c>
      <c r="P178" t="inlineStr">
        <is>
          <t>nyu</t>
        </is>
      </c>
      <c r="Q178" t="inlineStr">
        <is>
          <t>Methods of biochemical analysis ; v. 35</t>
        </is>
      </c>
      <c r="R178" t="inlineStr">
        <is>
          <t xml:space="preserve">QU </t>
        </is>
      </c>
      <c r="S178" t="n">
        <v>6</v>
      </c>
      <c r="T178" t="n">
        <v>6</v>
      </c>
      <c r="U178" t="inlineStr">
        <is>
          <t>1991-10-28</t>
        </is>
      </c>
      <c r="V178" t="inlineStr">
        <is>
          <t>1991-10-28</t>
        </is>
      </c>
      <c r="W178" t="inlineStr">
        <is>
          <t>1991-09-13</t>
        </is>
      </c>
      <c r="X178" t="inlineStr">
        <is>
          <t>1991-09-13</t>
        </is>
      </c>
      <c r="Y178" t="n">
        <v>230</v>
      </c>
      <c r="Z178" t="n">
        <v>157</v>
      </c>
      <c r="AA178" t="n">
        <v>157</v>
      </c>
      <c r="AB178" t="n">
        <v>2</v>
      </c>
      <c r="AC178" t="n">
        <v>2</v>
      </c>
      <c r="AD178" t="n">
        <v>9</v>
      </c>
      <c r="AE178" t="n">
        <v>9</v>
      </c>
      <c r="AF178" t="n">
        <v>1</v>
      </c>
      <c r="AG178" t="n">
        <v>1</v>
      </c>
      <c r="AH178" t="n">
        <v>2</v>
      </c>
      <c r="AI178" t="n">
        <v>2</v>
      </c>
      <c r="AJ178" t="n">
        <v>8</v>
      </c>
      <c r="AK178" t="n">
        <v>8</v>
      </c>
      <c r="AL178" t="n">
        <v>1</v>
      </c>
      <c r="AM178" t="n">
        <v>1</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HYPERLINK("https://creighton-primo.hosted.exlibrisgroup.com/primo-explore/search?tab=default_tab&amp;search_scope=EVERYTHING&amp;vid=01CRU&amp;lang=en_US&amp;offset=0&amp;query=any,contains,991001014379702656","Catalog Record")</f>
        <v/>
      </c>
      <c r="AT178">
        <f>HYPERLINK("http://www.worldcat.org/oclc/25096868","WorldCat Record")</f>
        <v/>
      </c>
      <c r="AU178" t="inlineStr">
        <is>
          <t>43793943:eng</t>
        </is>
      </c>
      <c r="AV178" t="inlineStr">
        <is>
          <t>25096868</t>
        </is>
      </c>
      <c r="AW178" t="inlineStr">
        <is>
          <t>991001014379702656</t>
        </is>
      </c>
      <c r="AX178" t="inlineStr">
        <is>
          <t>991001014379702656</t>
        </is>
      </c>
      <c r="AY178" t="inlineStr">
        <is>
          <t>2254910820002656</t>
        </is>
      </c>
      <c r="AZ178" t="inlineStr">
        <is>
          <t>BOOK</t>
        </is>
      </c>
      <c r="BB178" t="inlineStr">
        <is>
          <t>9780471513261</t>
        </is>
      </c>
      <c r="BC178" t="inlineStr">
        <is>
          <t>30001002240457</t>
        </is>
      </c>
      <c r="BD178" t="inlineStr">
        <is>
          <t>893278629</t>
        </is>
      </c>
    </row>
    <row r="179">
      <c r="A179" t="inlineStr">
        <is>
          <t>No</t>
        </is>
      </c>
      <c r="B179" t="inlineStr">
        <is>
          <t>QU55 P967 1992</t>
        </is>
      </c>
      <c r="C179" t="inlineStr">
        <is>
          <t>0                      QU 0055000P  967         1992</t>
        </is>
      </c>
      <c r="D179" t="inlineStr">
        <is>
          <t>Protein targeting : a practical approach / edited by Anthony I. Magee and Thomas Wileman.</t>
        </is>
      </c>
      <c r="F179" t="inlineStr">
        <is>
          <t>No</t>
        </is>
      </c>
      <c r="G179" t="inlineStr">
        <is>
          <t>1</t>
        </is>
      </c>
      <c r="H179" t="inlineStr">
        <is>
          <t>No</t>
        </is>
      </c>
      <c r="I179" t="inlineStr">
        <is>
          <t>No</t>
        </is>
      </c>
      <c r="J179" t="inlineStr">
        <is>
          <t>0</t>
        </is>
      </c>
      <c r="L179" t="inlineStr">
        <is>
          <t>Oxford ; New York : IRL Press at Oxford University Press, c1992.</t>
        </is>
      </c>
      <c r="M179" t="inlineStr">
        <is>
          <t>1992</t>
        </is>
      </c>
      <c r="O179" t="inlineStr">
        <is>
          <t>eng</t>
        </is>
      </c>
      <c r="P179" t="inlineStr">
        <is>
          <t>enk</t>
        </is>
      </c>
      <c r="Q179" t="inlineStr">
        <is>
          <t>The Practical approach series.</t>
        </is>
      </c>
      <c r="R179" t="inlineStr">
        <is>
          <t xml:space="preserve">QU </t>
        </is>
      </c>
      <c r="S179" t="n">
        <v>10</v>
      </c>
      <c r="T179" t="n">
        <v>10</v>
      </c>
      <c r="U179" t="inlineStr">
        <is>
          <t>2002-07-02</t>
        </is>
      </c>
      <c r="V179" t="inlineStr">
        <is>
          <t>2002-07-02</t>
        </is>
      </c>
      <c r="W179" t="inlineStr">
        <is>
          <t>1993-03-16</t>
        </is>
      </c>
      <c r="X179" t="inlineStr">
        <is>
          <t>1993-03-16</t>
        </is>
      </c>
      <c r="Y179" t="n">
        <v>223</v>
      </c>
      <c r="Z179" t="n">
        <v>139</v>
      </c>
      <c r="AA179" t="n">
        <v>141</v>
      </c>
      <c r="AB179" t="n">
        <v>1</v>
      </c>
      <c r="AC179" t="n">
        <v>1</v>
      </c>
      <c r="AD179" t="n">
        <v>7</v>
      </c>
      <c r="AE179" t="n">
        <v>7</v>
      </c>
      <c r="AF179" t="n">
        <v>5</v>
      </c>
      <c r="AG179" t="n">
        <v>5</v>
      </c>
      <c r="AH179" t="n">
        <v>1</v>
      </c>
      <c r="AI179" t="n">
        <v>1</v>
      </c>
      <c r="AJ179" t="n">
        <v>4</v>
      </c>
      <c r="AK179" t="n">
        <v>4</v>
      </c>
      <c r="AL179" t="n">
        <v>0</v>
      </c>
      <c r="AM179" t="n">
        <v>0</v>
      </c>
      <c r="AN179" t="n">
        <v>0</v>
      </c>
      <c r="AO179" t="n">
        <v>0</v>
      </c>
      <c r="AP179" t="inlineStr">
        <is>
          <t>No</t>
        </is>
      </c>
      <c r="AQ179" t="inlineStr">
        <is>
          <t>Yes</t>
        </is>
      </c>
      <c r="AR179">
        <f>HYPERLINK("http://catalog.hathitrust.org/Record/002725960","HathiTrust Record")</f>
        <v/>
      </c>
      <c r="AS179">
        <f>HYPERLINK("https://creighton-primo.hosted.exlibrisgroup.com/primo-explore/search?tab=default_tab&amp;search_scope=EVERYTHING&amp;vid=01CRU&amp;lang=en_US&amp;offset=0&amp;query=any,contains,991001482079702656","Catalog Record")</f>
        <v/>
      </c>
      <c r="AT179">
        <f>HYPERLINK("http://www.worldcat.org/oclc/25164064","WorldCat Record")</f>
        <v/>
      </c>
      <c r="AU179" t="inlineStr">
        <is>
          <t>803177567:eng</t>
        </is>
      </c>
      <c r="AV179" t="inlineStr">
        <is>
          <t>25164064</t>
        </is>
      </c>
      <c r="AW179" t="inlineStr">
        <is>
          <t>991001482079702656</t>
        </is>
      </c>
      <c r="AX179" t="inlineStr">
        <is>
          <t>991001482079702656</t>
        </is>
      </c>
      <c r="AY179" t="inlineStr">
        <is>
          <t>2263767150002656</t>
        </is>
      </c>
      <c r="AZ179" t="inlineStr">
        <is>
          <t>BOOK</t>
        </is>
      </c>
      <c r="BB179" t="inlineStr">
        <is>
          <t>9780199632060</t>
        </is>
      </c>
      <c r="BC179" t="inlineStr">
        <is>
          <t>30001002570176</t>
        </is>
      </c>
      <c r="BD179" t="inlineStr">
        <is>
          <t>893455841</t>
        </is>
      </c>
    </row>
    <row r="180">
      <c r="A180" t="inlineStr">
        <is>
          <t>No</t>
        </is>
      </c>
      <c r="B180" t="inlineStr">
        <is>
          <t>QU 55 P967 1993</t>
        </is>
      </c>
      <c r="C180" t="inlineStr">
        <is>
          <t>0                      QU 0055000P  967         1993</t>
        </is>
      </c>
      <c r="D180" t="inlineStr">
        <is>
          <t>Protein phosphorylation : a practical approach / edited by D. Grahame Hardie.</t>
        </is>
      </c>
      <c r="F180" t="inlineStr">
        <is>
          <t>No</t>
        </is>
      </c>
      <c r="G180" t="inlineStr">
        <is>
          <t>1</t>
        </is>
      </c>
      <c r="H180" t="inlineStr">
        <is>
          <t>No</t>
        </is>
      </c>
      <c r="I180" t="inlineStr">
        <is>
          <t>No</t>
        </is>
      </c>
      <c r="J180" t="inlineStr">
        <is>
          <t>1</t>
        </is>
      </c>
      <c r="L180" t="inlineStr">
        <is>
          <t>Oxford ; New York : Oxford University Press, c1993.</t>
        </is>
      </c>
      <c r="M180" t="inlineStr">
        <is>
          <t>1993</t>
        </is>
      </c>
      <c r="O180" t="inlineStr">
        <is>
          <t>eng</t>
        </is>
      </c>
      <c r="P180" t="inlineStr">
        <is>
          <t>enk</t>
        </is>
      </c>
      <c r="Q180" t="inlineStr">
        <is>
          <t>The Practical approach series</t>
        </is>
      </c>
      <c r="R180" t="inlineStr">
        <is>
          <t xml:space="preserve">QU </t>
        </is>
      </c>
      <c r="S180" t="n">
        <v>2</v>
      </c>
      <c r="T180" t="n">
        <v>2</v>
      </c>
      <c r="U180" t="inlineStr">
        <is>
          <t>1997-03-21</t>
        </is>
      </c>
      <c r="V180" t="inlineStr">
        <is>
          <t>1997-03-21</t>
        </is>
      </c>
      <c r="W180" t="inlineStr">
        <is>
          <t>1997-03-21</t>
        </is>
      </c>
      <c r="X180" t="inlineStr">
        <is>
          <t>1997-03-21</t>
        </is>
      </c>
      <c r="Y180" t="n">
        <v>242</v>
      </c>
      <c r="Z180" t="n">
        <v>157</v>
      </c>
      <c r="AA180" t="n">
        <v>911</v>
      </c>
      <c r="AB180" t="n">
        <v>1</v>
      </c>
      <c r="AC180" t="n">
        <v>15</v>
      </c>
      <c r="AD180" t="n">
        <v>5</v>
      </c>
      <c r="AE180" t="n">
        <v>34</v>
      </c>
      <c r="AF180" t="n">
        <v>3</v>
      </c>
      <c r="AG180" t="n">
        <v>10</v>
      </c>
      <c r="AH180" t="n">
        <v>1</v>
      </c>
      <c r="AI180" t="n">
        <v>6</v>
      </c>
      <c r="AJ180" t="n">
        <v>4</v>
      </c>
      <c r="AK180" t="n">
        <v>11</v>
      </c>
      <c r="AL180" t="n">
        <v>0</v>
      </c>
      <c r="AM180" t="n">
        <v>13</v>
      </c>
      <c r="AN180" t="n">
        <v>0</v>
      </c>
      <c r="AO180" t="n">
        <v>1</v>
      </c>
      <c r="AP180" t="inlineStr">
        <is>
          <t>No</t>
        </is>
      </c>
      <c r="AQ180" t="inlineStr">
        <is>
          <t>Yes</t>
        </is>
      </c>
      <c r="AR180">
        <f>HYPERLINK("http://catalog.hathitrust.org/Record/002714468","HathiTrust Record")</f>
        <v/>
      </c>
      <c r="AS180">
        <f>HYPERLINK("https://creighton-primo.hosted.exlibrisgroup.com/primo-explore/search?tab=default_tab&amp;search_scope=EVERYTHING&amp;vid=01CRU&amp;lang=en_US&amp;offset=0&amp;query=any,contains,991000837989702656","Catalog Record")</f>
        <v/>
      </c>
      <c r="AT180">
        <f>HYPERLINK("http://www.worldcat.org/oclc/27311140","WorldCat Record")</f>
        <v/>
      </c>
      <c r="AU180" t="inlineStr">
        <is>
          <t>793878447:eng</t>
        </is>
      </c>
      <c r="AV180" t="inlineStr">
        <is>
          <t>27311140</t>
        </is>
      </c>
      <c r="AW180" t="inlineStr">
        <is>
          <t>991000837989702656</t>
        </is>
      </c>
      <c r="AX180" t="inlineStr">
        <is>
          <t>991000837989702656</t>
        </is>
      </c>
      <c r="AY180" t="inlineStr">
        <is>
          <t>22101749350002656</t>
        </is>
      </c>
      <c r="AZ180" t="inlineStr">
        <is>
          <t>BOOK</t>
        </is>
      </c>
      <c r="BB180" t="inlineStr">
        <is>
          <t>9780199633050</t>
        </is>
      </c>
      <c r="BC180" t="inlineStr">
        <is>
          <t>30001003442599</t>
        </is>
      </c>
      <c r="BD180" t="inlineStr">
        <is>
          <t>893120574</t>
        </is>
      </c>
    </row>
    <row r="181">
      <c r="A181" t="inlineStr">
        <is>
          <t>No</t>
        </is>
      </c>
      <c r="B181" t="inlineStr">
        <is>
          <t>QU 55 P967 1994</t>
        </is>
      </c>
      <c r="C181" t="inlineStr">
        <is>
          <t>0                      QU 0055000P  967         1994</t>
        </is>
      </c>
      <c r="D181" t="inlineStr">
        <is>
          <t>The Protein folding problem and tertiary structure prediction / Kenneth M. Merz, Jr., Scott M. Le Grand, editors.</t>
        </is>
      </c>
      <c r="F181" t="inlineStr">
        <is>
          <t>No</t>
        </is>
      </c>
      <c r="G181" t="inlineStr">
        <is>
          <t>1</t>
        </is>
      </c>
      <c r="H181" t="inlineStr">
        <is>
          <t>No</t>
        </is>
      </c>
      <c r="I181" t="inlineStr">
        <is>
          <t>No</t>
        </is>
      </c>
      <c r="J181" t="inlineStr">
        <is>
          <t>0</t>
        </is>
      </c>
      <c r="L181" t="inlineStr">
        <is>
          <t>Boston : Birkhäuser, c1994.</t>
        </is>
      </c>
      <c r="M181" t="inlineStr">
        <is>
          <t>1994</t>
        </is>
      </c>
      <c r="O181" t="inlineStr">
        <is>
          <t>eng</t>
        </is>
      </c>
      <c r="P181" t="inlineStr">
        <is>
          <t>mau</t>
        </is>
      </c>
      <c r="R181" t="inlineStr">
        <is>
          <t xml:space="preserve">QU </t>
        </is>
      </c>
      <c r="S181" t="n">
        <v>5</v>
      </c>
      <c r="T181" t="n">
        <v>5</v>
      </c>
      <c r="U181" t="inlineStr">
        <is>
          <t>2000-07-11</t>
        </is>
      </c>
      <c r="V181" t="inlineStr">
        <is>
          <t>2000-07-11</t>
        </is>
      </c>
      <c r="W181" t="inlineStr">
        <is>
          <t>1994-12-05</t>
        </is>
      </c>
      <c r="X181" t="inlineStr">
        <is>
          <t>1994-12-05</t>
        </is>
      </c>
      <c r="Y181" t="n">
        <v>235</v>
      </c>
      <c r="Z181" t="n">
        <v>178</v>
      </c>
      <c r="AA181" t="n">
        <v>200</v>
      </c>
      <c r="AB181" t="n">
        <v>1</v>
      </c>
      <c r="AC181" t="n">
        <v>1</v>
      </c>
      <c r="AD181" t="n">
        <v>4</v>
      </c>
      <c r="AE181" t="n">
        <v>5</v>
      </c>
      <c r="AF181" t="n">
        <v>0</v>
      </c>
      <c r="AG181" t="n">
        <v>1</v>
      </c>
      <c r="AH181" t="n">
        <v>2</v>
      </c>
      <c r="AI181" t="n">
        <v>2</v>
      </c>
      <c r="AJ181" t="n">
        <v>3</v>
      </c>
      <c r="AK181" t="n">
        <v>4</v>
      </c>
      <c r="AL181" t="n">
        <v>0</v>
      </c>
      <c r="AM181" t="n">
        <v>0</v>
      </c>
      <c r="AN181" t="n">
        <v>0</v>
      </c>
      <c r="AO181" t="n">
        <v>0</v>
      </c>
      <c r="AP181" t="inlineStr">
        <is>
          <t>No</t>
        </is>
      </c>
      <c r="AQ181" t="inlineStr">
        <is>
          <t>Yes</t>
        </is>
      </c>
      <c r="AR181">
        <f>HYPERLINK("http://catalog.hathitrust.org/Record/002875114","HathiTrust Record")</f>
        <v/>
      </c>
      <c r="AS181">
        <f>HYPERLINK("https://creighton-primo.hosted.exlibrisgroup.com/primo-explore/search?tab=default_tab&amp;search_scope=EVERYTHING&amp;vid=01CRU&amp;lang=en_US&amp;offset=0&amp;query=any,contains,991000682789702656","Catalog Record")</f>
        <v/>
      </c>
      <c r="AT181">
        <f>HYPERLINK("http://www.worldcat.org/oclc/29358337","WorldCat Record")</f>
        <v/>
      </c>
      <c r="AU181" t="inlineStr">
        <is>
          <t>350539365:eng</t>
        </is>
      </c>
      <c r="AV181" t="inlineStr">
        <is>
          <t>29358337</t>
        </is>
      </c>
      <c r="AW181" t="inlineStr">
        <is>
          <t>991000682789702656</t>
        </is>
      </c>
      <c r="AX181" t="inlineStr">
        <is>
          <t>991000682789702656</t>
        </is>
      </c>
      <c r="AY181" t="inlineStr">
        <is>
          <t>2268533640002656</t>
        </is>
      </c>
      <c r="AZ181" t="inlineStr">
        <is>
          <t>BOOK</t>
        </is>
      </c>
      <c r="BB181" t="inlineStr">
        <is>
          <t>9780817636937</t>
        </is>
      </c>
      <c r="BC181" t="inlineStr">
        <is>
          <t>30001002698043</t>
        </is>
      </c>
      <c r="BD181" t="inlineStr">
        <is>
          <t>893834149</t>
        </is>
      </c>
    </row>
    <row r="182">
      <c r="A182" t="inlineStr">
        <is>
          <t>No</t>
        </is>
      </c>
      <c r="B182" t="inlineStr">
        <is>
          <t>QU 55 P967 1996</t>
        </is>
      </c>
      <c r="C182" t="inlineStr">
        <is>
          <t>0                      QU 0055000P  967         1996</t>
        </is>
      </c>
      <c r="D182" t="inlineStr">
        <is>
          <t>Protein targeting / edited by Stella M. Hurtley.</t>
        </is>
      </c>
      <c r="F182" t="inlineStr">
        <is>
          <t>No</t>
        </is>
      </c>
      <c r="G182" t="inlineStr">
        <is>
          <t>1</t>
        </is>
      </c>
      <c r="H182" t="inlineStr">
        <is>
          <t>No</t>
        </is>
      </c>
      <c r="I182" t="inlineStr">
        <is>
          <t>No</t>
        </is>
      </c>
      <c r="J182" t="inlineStr">
        <is>
          <t>0</t>
        </is>
      </c>
      <c r="L182" t="inlineStr">
        <is>
          <t>Oxford ; New York : IRL Press, c1996.</t>
        </is>
      </c>
      <c r="M182" t="inlineStr">
        <is>
          <t>1996</t>
        </is>
      </c>
      <c r="O182" t="inlineStr">
        <is>
          <t>eng</t>
        </is>
      </c>
      <c r="P182" t="inlineStr">
        <is>
          <t>enk</t>
        </is>
      </c>
      <c r="Q182" t="inlineStr">
        <is>
          <t>Frontiers in molecular biology ; 16</t>
        </is>
      </c>
      <c r="R182" t="inlineStr">
        <is>
          <t xml:space="preserve">QU </t>
        </is>
      </c>
      <c r="S182" t="n">
        <v>6</v>
      </c>
      <c r="T182" t="n">
        <v>6</v>
      </c>
      <c r="U182" t="inlineStr">
        <is>
          <t>2001-08-24</t>
        </is>
      </c>
      <c r="V182" t="inlineStr">
        <is>
          <t>2001-08-24</t>
        </is>
      </c>
      <c r="W182" t="inlineStr">
        <is>
          <t>1998-02-05</t>
        </is>
      </c>
      <c r="X182" t="inlineStr">
        <is>
          <t>1998-02-05</t>
        </is>
      </c>
      <c r="Y182" t="n">
        <v>222</v>
      </c>
      <c r="Z182" t="n">
        <v>148</v>
      </c>
      <c r="AA182" t="n">
        <v>153</v>
      </c>
      <c r="AB182" t="n">
        <v>1</v>
      </c>
      <c r="AC182" t="n">
        <v>1</v>
      </c>
      <c r="AD182" t="n">
        <v>7</v>
      </c>
      <c r="AE182" t="n">
        <v>7</v>
      </c>
      <c r="AF182" t="n">
        <v>2</v>
      </c>
      <c r="AG182" t="n">
        <v>2</v>
      </c>
      <c r="AH182" t="n">
        <v>4</v>
      </c>
      <c r="AI182" t="n">
        <v>4</v>
      </c>
      <c r="AJ182" t="n">
        <v>4</v>
      </c>
      <c r="AK182" t="n">
        <v>4</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HYPERLINK("https://creighton-primo.hosted.exlibrisgroup.com/primo-explore/search?tab=default_tab&amp;search_scope=EVERYTHING&amp;vid=01CRU&amp;lang=en_US&amp;offset=0&amp;query=any,contains,991001296139702656","Catalog Record")</f>
        <v/>
      </c>
      <c r="AT182">
        <f>HYPERLINK("http://www.worldcat.org/oclc/34284614","WorldCat Record")</f>
        <v/>
      </c>
      <c r="AU182" t="inlineStr">
        <is>
          <t>39803321:eng</t>
        </is>
      </c>
      <c r="AV182" t="inlineStr">
        <is>
          <t>34284614</t>
        </is>
      </c>
      <c r="AW182" t="inlineStr">
        <is>
          <t>991001296139702656</t>
        </is>
      </c>
      <c r="AX182" t="inlineStr">
        <is>
          <t>991001296139702656</t>
        </is>
      </c>
      <c r="AY182" t="inlineStr">
        <is>
          <t>2260998150002656</t>
        </is>
      </c>
      <c r="AZ182" t="inlineStr">
        <is>
          <t>BOOK</t>
        </is>
      </c>
      <c r="BB182" t="inlineStr">
        <is>
          <t>9780199635610</t>
        </is>
      </c>
      <c r="BC182" t="inlineStr">
        <is>
          <t>30001003742998</t>
        </is>
      </c>
      <c r="BD182" t="inlineStr">
        <is>
          <t>893363938</t>
        </is>
      </c>
    </row>
    <row r="183">
      <c r="A183" t="inlineStr">
        <is>
          <t>No</t>
        </is>
      </c>
      <c r="B183" t="inlineStr">
        <is>
          <t>QU 55 P9672 1997</t>
        </is>
      </c>
      <c r="C183" t="inlineStr">
        <is>
          <t>0                      QU 0055000P  9672        1997</t>
        </is>
      </c>
      <c r="D183" t="inlineStr">
        <is>
          <t>Protein structure : a practical approach / edited by T.E. Creighton.</t>
        </is>
      </c>
      <c r="F183" t="inlineStr">
        <is>
          <t>No</t>
        </is>
      </c>
      <c r="G183" t="inlineStr">
        <is>
          <t>1</t>
        </is>
      </c>
      <c r="H183" t="inlineStr">
        <is>
          <t>No</t>
        </is>
      </c>
      <c r="I183" t="inlineStr">
        <is>
          <t>No</t>
        </is>
      </c>
      <c r="J183" t="inlineStr">
        <is>
          <t>0</t>
        </is>
      </c>
      <c r="L183" t="inlineStr">
        <is>
          <t>Oxford ; New York : IRL Press at Oxford University Press, c1997.</t>
        </is>
      </c>
      <c r="M183" t="inlineStr">
        <is>
          <t>1997</t>
        </is>
      </c>
      <c r="N183" t="inlineStr">
        <is>
          <t>2nd ed.</t>
        </is>
      </c>
      <c r="O183" t="inlineStr">
        <is>
          <t>eng</t>
        </is>
      </c>
      <c r="P183" t="inlineStr">
        <is>
          <t>nyu</t>
        </is>
      </c>
      <c r="Q183" t="inlineStr">
        <is>
          <t>Practical approach series ; 174</t>
        </is>
      </c>
      <c r="R183" t="inlineStr">
        <is>
          <t xml:space="preserve">QU </t>
        </is>
      </c>
      <c r="S183" t="n">
        <v>13</v>
      </c>
      <c r="T183" t="n">
        <v>13</v>
      </c>
      <c r="U183" t="inlineStr">
        <is>
          <t>2010-06-23</t>
        </is>
      </c>
      <c r="V183" t="inlineStr">
        <is>
          <t>2010-06-23</t>
        </is>
      </c>
      <c r="W183" t="inlineStr">
        <is>
          <t>1998-02-16</t>
        </is>
      </c>
      <c r="X183" t="inlineStr">
        <is>
          <t>1998-02-16</t>
        </is>
      </c>
      <c r="Y183" t="n">
        <v>324</v>
      </c>
      <c r="Z183" t="n">
        <v>218</v>
      </c>
      <c r="AA183" t="n">
        <v>470</v>
      </c>
      <c r="AB183" t="n">
        <v>1</v>
      </c>
      <c r="AC183" t="n">
        <v>2</v>
      </c>
      <c r="AD183" t="n">
        <v>11</v>
      </c>
      <c r="AE183" t="n">
        <v>16</v>
      </c>
      <c r="AF183" t="n">
        <v>4</v>
      </c>
      <c r="AG183" t="n">
        <v>4</v>
      </c>
      <c r="AH183" t="n">
        <v>2</v>
      </c>
      <c r="AI183" t="n">
        <v>5</v>
      </c>
      <c r="AJ183" t="n">
        <v>7</v>
      </c>
      <c r="AK183" t="n">
        <v>10</v>
      </c>
      <c r="AL183" t="n">
        <v>0</v>
      </c>
      <c r="AM183" t="n">
        <v>1</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HYPERLINK("https://creighton-primo.hosted.exlibrisgroup.com/primo-explore/search?tab=default_tab&amp;search_scope=EVERYTHING&amp;vid=01CRU&amp;lang=en_US&amp;offset=0&amp;query=any,contains,991001260789702656","Catalog Record")</f>
        <v/>
      </c>
      <c r="AT183">
        <f>HYPERLINK("http://www.worldcat.org/oclc/37464591","WorldCat Record")</f>
        <v/>
      </c>
      <c r="AU183" t="inlineStr">
        <is>
          <t>34639106:eng</t>
        </is>
      </c>
      <c r="AV183" t="inlineStr">
        <is>
          <t>37464591</t>
        </is>
      </c>
      <c r="AW183" t="inlineStr">
        <is>
          <t>991001260789702656</t>
        </is>
      </c>
      <c r="AX183" t="inlineStr">
        <is>
          <t>991001260789702656</t>
        </is>
      </c>
      <c r="AY183" t="inlineStr">
        <is>
          <t>2256461540002656</t>
        </is>
      </c>
      <c r="AZ183" t="inlineStr">
        <is>
          <t>BOOK</t>
        </is>
      </c>
      <c r="BB183" t="inlineStr">
        <is>
          <t>9780199636181</t>
        </is>
      </c>
      <c r="BC183" t="inlineStr">
        <is>
          <t>30001003691104</t>
        </is>
      </c>
      <c r="BD183" t="inlineStr">
        <is>
          <t>893369266</t>
        </is>
      </c>
    </row>
    <row r="184">
      <c r="A184" t="inlineStr">
        <is>
          <t>No</t>
        </is>
      </c>
      <c r="B184" t="inlineStr">
        <is>
          <t>QU 55 P9673 1989</t>
        </is>
      </c>
      <c r="C184" t="inlineStr">
        <is>
          <t>0                      QU 0055000P  9673        1989</t>
        </is>
      </c>
      <c r="D184" t="inlineStr">
        <is>
          <t>Protein-nucleic acid interaction / edited by Wolfram Saenger and Udo Heinemann.</t>
        </is>
      </c>
      <c r="F184" t="inlineStr">
        <is>
          <t>No</t>
        </is>
      </c>
      <c r="G184" t="inlineStr">
        <is>
          <t>1</t>
        </is>
      </c>
      <c r="H184" t="inlineStr">
        <is>
          <t>No</t>
        </is>
      </c>
      <c r="I184" t="inlineStr">
        <is>
          <t>No</t>
        </is>
      </c>
      <c r="J184" t="inlineStr">
        <is>
          <t>0</t>
        </is>
      </c>
      <c r="L184" t="inlineStr">
        <is>
          <t>Boca Raton, Fla. : CRC Press, c1989.</t>
        </is>
      </c>
      <c r="M184" t="inlineStr">
        <is>
          <t>1989</t>
        </is>
      </c>
      <c r="O184" t="inlineStr">
        <is>
          <t>eng</t>
        </is>
      </c>
      <c r="P184" t="inlineStr">
        <is>
          <t>xxu</t>
        </is>
      </c>
      <c r="Q184" t="inlineStr">
        <is>
          <t>Topics in molecular and structural biology, 0265-4377</t>
        </is>
      </c>
      <c r="R184" t="inlineStr">
        <is>
          <t xml:space="preserve">QU </t>
        </is>
      </c>
      <c r="S184" t="n">
        <v>4</v>
      </c>
      <c r="T184" t="n">
        <v>4</v>
      </c>
      <c r="U184" t="inlineStr">
        <is>
          <t>2005-01-19</t>
        </is>
      </c>
      <c r="V184" t="inlineStr">
        <is>
          <t>2005-01-19</t>
        </is>
      </c>
      <c r="W184" t="inlineStr">
        <is>
          <t>1991-03-02</t>
        </is>
      </c>
      <c r="X184" t="inlineStr">
        <is>
          <t>1991-03-02</t>
        </is>
      </c>
      <c r="Y184" t="n">
        <v>167</v>
      </c>
      <c r="Z184" t="n">
        <v>150</v>
      </c>
      <c r="AA184" t="n">
        <v>185</v>
      </c>
      <c r="AB184" t="n">
        <v>1</v>
      </c>
      <c r="AC184" t="n">
        <v>2</v>
      </c>
      <c r="AD184" t="n">
        <v>6</v>
      </c>
      <c r="AE184" t="n">
        <v>7</v>
      </c>
      <c r="AF184" t="n">
        <v>2</v>
      </c>
      <c r="AG184" t="n">
        <v>2</v>
      </c>
      <c r="AH184" t="n">
        <v>2</v>
      </c>
      <c r="AI184" t="n">
        <v>2</v>
      </c>
      <c r="AJ184" t="n">
        <v>4</v>
      </c>
      <c r="AK184" t="n">
        <v>4</v>
      </c>
      <c r="AL184" t="n">
        <v>0</v>
      </c>
      <c r="AM184" t="n">
        <v>1</v>
      </c>
      <c r="AN184" t="n">
        <v>0</v>
      </c>
      <c r="AO184" t="n">
        <v>0</v>
      </c>
      <c r="AP184" t="inlineStr">
        <is>
          <t>No</t>
        </is>
      </c>
      <c r="AQ184" t="inlineStr">
        <is>
          <t>Yes</t>
        </is>
      </c>
      <c r="AR184">
        <f>HYPERLINK("http://catalog.hathitrust.org/Record/001952228","HathiTrust Record")</f>
        <v/>
      </c>
      <c r="AS184">
        <f>HYPERLINK("https://creighton-primo.hosted.exlibrisgroup.com/primo-explore/search?tab=default_tab&amp;search_scope=EVERYTHING&amp;vid=01CRU&amp;lang=en_US&amp;offset=0&amp;query=any,contains,991000823769702656","Catalog Record")</f>
        <v/>
      </c>
      <c r="AT184">
        <f>HYPERLINK("http://www.worldcat.org/oclc/19814349","WorldCat Record")</f>
        <v/>
      </c>
      <c r="AU184" t="inlineStr">
        <is>
          <t>356300194:eng</t>
        </is>
      </c>
      <c r="AV184" t="inlineStr">
        <is>
          <t>19814349</t>
        </is>
      </c>
      <c r="AW184" t="inlineStr">
        <is>
          <t>991000823769702656</t>
        </is>
      </c>
      <c r="AX184" t="inlineStr">
        <is>
          <t>991000823769702656</t>
        </is>
      </c>
      <c r="AY184" t="inlineStr">
        <is>
          <t>2271005760002656</t>
        </is>
      </c>
      <c r="AZ184" t="inlineStr">
        <is>
          <t>BOOK</t>
        </is>
      </c>
      <c r="BB184" t="inlineStr">
        <is>
          <t>9780849371134</t>
        </is>
      </c>
      <c r="BC184" t="inlineStr">
        <is>
          <t>30001002088203</t>
        </is>
      </c>
      <c r="BD184" t="inlineStr">
        <is>
          <t>893540659</t>
        </is>
      </c>
    </row>
    <row r="185">
      <c r="A185" t="inlineStr">
        <is>
          <t>No</t>
        </is>
      </c>
      <c r="B185" t="inlineStr">
        <is>
          <t>QU 55 P9675 1976-82 v.2-5</t>
        </is>
      </c>
      <c r="C185" t="inlineStr">
        <is>
          <t>0                      QU 0055000P  9675        1976                                        -82 v.2-5</t>
        </is>
      </c>
      <c r="D185" t="inlineStr">
        <is>
          <t>The proteins / edited by Hans Neurath, Robert L. Hill.</t>
        </is>
      </c>
      <c r="E185" t="inlineStr">
        <is>
          <t>V. 4</t>
        </is>
      </c>
      <c r="F185" t="inlineStr">
        <is>
          <t>Yes</t>
        </is>
      </c>
      <c r="G185" t="inlineStr">
        <is>
          <t>1</t>
        </is>
      </c>
      <c r="H185" t="inlineStr">
        <is>
          <t>No</t>
        </is>
      </c>
      <c r="I185" t="inlineStr">
        <is>
          <t>No</t>
        </is>
      </c>
      <c r="J185" t="inlineStr">
        <is>
          <t>0</t>
        </is>
      </c>
      <c r="L185" t="inlineStr">
        <is>
          <t>New York : Academic Press, c1976-1982.</t>
        </is>
      </c>
      <c r="M185" t="inlineStr">
        <is>
          <t>1976</t>
        </is>
      </c>
      <c r="N185" t="inlineStr">
        <is>
          <t>3rd ed.</t>
        </is>
      </c>
      <c r="O185" t="inlineStr">
        <is>
          <t>eng</t>
        </is>
      </c>
      <c r="P185" t="inlineStr">
        <is>
          <t>nyu</t>
        </is>
      </c>
      <c r="R185" t="inlineStr">
        <is>
          <t xml:space="preserve">QU </t>
        </is>
      </c>
      <c r="S185" t="n">
        <v>0</v>
      </c>
      <c r="T185" t="n">
        <v>4</v>
      </c>
      <c r="V185" t="inlineStr">
        <is>
          <t>2003-03-05</t>
        </is>
      </c>
      <c r="W185" t="inlineStr">
        <is>
          <t>1988-01-26</t>
        </is>
      </c>
      <c r="X185" t="inlineStr">
        <is>
          <t>1988-01-26</t>
        </is>
      </c>
      <c r="Y185" t="n">
        <v>587</v>
      </c>
      <c r="Z185" t="n">
        <v>467</v>
      </c>
      <c r="AA185" t="n">
        <v>512</v>
      </c>
      <c r="AB185" t="n">
        <v>5</v>
      </c>
      <c r="AC185" t="n">
        <v>5</v>
      </c>
      <c r="AD185" t="n">
        <v>17</v>
      </c>
      <c r="AE185" t="n">
        <v>19</v>
      </c>
      <c r="AF185" t="n">
        <v>5</v>
      </c>
      <c r="AG185" t="n">
        <v>7</v>
      </c>
      <c r="AH185" t="n">
        <v>6</v>
      </c>
      <c r="AI185" t="n">
        <v>7</v>
      </c>
      <c r="AJ185" t="n">
        <v>7</v>
      </c>
      <c r="AK185" t="n">
        <v>7</v>
      </c>
      <c r="AL185" t="n">
        <v>4</v>
      </c>
      <c r="AM185" t="n">
        <v>4</v>
      </c>
      <c r="AN185" t="n">
        <v>0</v>
      </c>
      <c r="AO185" t="n">
        <v>0</v>
      </c>
      <c r="AP185" t="inlineStr">
        <is>
          <t>No</t>
        </is>
      </c>
      <c r="AQ185" t="inlineStr">
        <is>
          <t>Yes</t>
        </is>
      </c>
      <c r="AR185">
        <f>HYPERLINK("http://catalog.hathitrust.org/Record/000149872","HathiTrust Record")</f>
        <v/>
      </c>
      <c r="AS185">
        <f>HYPERLINK("https://creighton-primo.hosted.exlibrisgroup.com/primo-explore/search?tab=default_tab&amp;search_scope=EVERYTHING&amp;vid=01CRU&amp;lang=en_US&amp;offset=0&amp;query=any,contains,991000897669702656","Catalog Record")</f>
        <v/>
      </c>
      <c r="AT185">
        <f>HYPERLINK("http://www.worldcat.org/oclc/980216","WorldCat Record")</f>
        <v/>
      </c>
      <c r="AU185" t="inlineStr">
        <is>
          <t>3893625784:eng</t>
        </is>
      </c>
      <c r="AV185" t="inlineStr">
        <is>
          <t>980216</t>
        </is>
      </c>
      <c r="AW185" t="inlineStr">
        <is>
          <t>991000897669702656</t>
        </is>
      </c>
      <c r="AX185" t="inlineStr">
        <is>
          <t>991000897669702656</t>
        </is>
      </c>
      <c r="AY185" t="inlineStr">
        <is>
          <t>2271389130002656</t>
        </is>
      </c>
      <c r="AZ185" t="inlineStr">
        <is>
          <t>BOOK</t>
        </is>
      </c>
      <c r="BC185" t="inlineStr">
        <is>
          <t>30001000158107</t>
        </is>
      </c>
      <c r="BD185" t="inlineStr">
        <is>
          <t>893740538</t>
        </is>
      </c>
    </row>
    <row r="186">
      <c r="A186" t="inlineStr">
        <is>
          <t>No</t>
        </is>
      </c>
      <c r="B186" t="inlineStr">
        <is>
          <t>QU 55 P9675 1976-82 v.2-5</t>
        </is>
      </c>
      <c r="C186" t="inlineStr">
        <is>
          <t>0                      QU 0055000P  9675        1976                                        -82 v.2-5</t>
        </is>
      </c>
      <c r="D186" t="inlineStr">
        <is>
          <t>The proteins / edited by Hans Neurath, Robert L. Hill.</t>
        </is>
      </c>
      <c r="E186" t="inlineStr">
        <is>
          <t>V. 2</t>
        </is>
      </c>
      <c r="F186" t="inlineStr">
        <is>
          <t>Yes</t>
        </is>
      </c>
      <c r="G186" t="inlineStr">
        <is>
          <t>1</t>
        </is>
      </c>
      <c r="H186" t="inlineStr">
        <is>
          <t>No</t>
        </is>
      </c>
      <c r="I186" t="inlineStr">
        <is>
          <t>No</t>
        </is>
      </c>
      <c r="J186" t="inlineStr">
        <is>
          <t>0</t>
        </is>
      </c>
      <c r="L186" t="inlineStr">
        <is>
          <t>New York : Academic Press, c1976-1982.</t>
        </is>
      </c>
      <c r="M186" t="inlineStr">
        <is>
          <t>1976</t>
        </is>
      </c>
      <c r="N186" t="inlineStr">
        <is>
          <t>3rd ed.</t>
        </is>
      </c>
      <c r="O186" t="inlineStr">
        <is>
          <t>eng</t>
        </is>
      </c>
      <c r="P186" t="inlineStr">
        <is>
          <t>nyu</t>
        </is>
      </c>
      <c r="R186" t="inlineStr">
        <is>
          <t xml:space="preserve">QU </t>
        </is>
      </c>
      <c r="S186" t="n">
        <v>1</v>
      </c>
      <c r="T186" t="n">
        <v>4</v>
      </c>
      <c r="V186" t="inlineStr">
        <is>
          <t>2003-03-05</t>
        </is>
      </c>
      <c r="W186" t="inlineStr">
        <is>
          <t>1988-01-26</t>
        </is>
      </c>
      <c r="X186" t="inlineStr">
        <is>
          <t>1988-01-26</t>
        </is>
      </c>
      <c r="Y186" t="n">
        <v>587</v>
      </c>
      <c r="Z186" t="n">
        <v>467</v>
      </c>
      <c r="AA186" t="n">
        <v>512</v>
      </c>
      <c r="AB186" t="n">
        <v>5</v>
      </c>
      <c r="AC186" t="n">
        <v>5</v>
      </c>
      <c r="AD186" t="n">
        <v>17</v>
      </c>
      <c r="AE186" t="n">
        <v>19</v>
      </c>
      <c r="AF186" t="n">
        <v>5</v>
      </c>
      <c r="AG186" t="n">
        <v>7</v>
      </c>
      <c r="AH186" t="n">
        <v>6</v>
      </c>
      <c r="AI186" t="n">
        <v>7</v>
      </c>
      <c r="AJ186" t="n">
        <v>7</v>
      </c>
      <c r="AK186" t="n">
        <v>7</v>
      </c>
      <c r="AL186" t="n">
        <v>4</v>
      </c>
      <c r="AM186" t="n">
        <v>4</v>
      </c>
      <c r="AN186" t="n">
        <v>0</v>
      </c>
      <c r="AO186" t="n">
        <v>0</v>
      </c>
      <c r="AP186" t="inlineStr">
        <is>
          <t>No</t>
        </is>
      </c>
      <c r="AQ186" t="inlineStr">
        <is>
          <t>Yes</t>
        </is>
      </c>
      <c r="AR186">
        <f>HYPERLINK("http://catalog.hathitrust.org/Record/000149872","HathiTrust Record")</f>
        <v/>
      </c>
      <c r="AS186">
        <f>HYPERLINK("https://creighton-primo.hosted.exlibrisgroup.com/primo-explore/search?tab=default_tab&amp;search_scope=EVERYTHING&amp;vid=01CRU&amp;lang=en_US&amp;offset=0&amp;query=any,contains,991000897669702656","Catalog Record")</f>
        <v/>
      </c>
      <c r="AT186">
        <f>HYPERLINK("http://www.worldcat.org/oclc/980216","WorldCat Record")</f>
        <v/>
      </c>
      <c r="AU186" t="inlineStr">
        <is>
          <t>3893625784:eng</t>
        </is>
      </c>
      <c r="AV186" t="inlineStr">
        <is>
          <t>980216</t>
        </is>
      </c>
      <c r="AW186" t="inlineStr">
        <is>
          <t>991000897669702656</t>
        </is>
      </c>
      <c r="AX186" t="inlineStr">
        <is>
          <t>991000897669702656</t>
        </is>
      </c>
      <c r="AY186" t="inlineStr">
        <is>
          <t>2271389130002656</t>
        </is>
      </c>
      <c r="AZ186" t="inlineStr">
        <is>
          <t>BOOK</t>
        </is>
      </c>
      <c r="BC186" t="inlineStr">
        <is>
          <t>30001000158081</t>
        </is>
      </c>
      <c r="BD186" t="inlineStr">
        <is>
          <t>893727057</t>
        </is>
      </c>
    </row>
    <row r="187">
      <c r="A187" t="inlineStr">
        <is>
          <t>No</t>
        </is>
      </c>
      <c r="B187" t="inlineStr">
        <is>
          <t>QU 55 P9675 1976-82 v.2-5</t>
        </is>
      </c>
      <c r="C187" t="inlineStr">
        <is>
          <t>0                      QU 0055000P  9675        1976                                        -82 v.2-5</t>
        </is>
      </c>
      <c r="D187" t="inlineStr">
        <is>
          <t>The proteins / edited by Hans Neurath, Robert L. Hill.</t>
        </is>
      </c>
      <c r="E187" t="inlineStr">
        <is>
          <t>V. 5</t>
        </is>
      </c>
      <c r="F187" t="inlineStr">
        <is>
          <t>Yes</t>
        </is>
      </c>
      <c r="G187" t="inlineStr">
        <is>
          <t>1</t>
        </is>
      </c>
      <c r="H187" t="inlineStr">
        <is>
          <t>No</t>
        </is>
      </c>
      <c r="I187" t="inlineStr">
        <is>
          <t>No</t>
        </is>
      </c>
      <c r="J187" t="inlineStr">
        <is>
          <t>0</t>
        </is>
      </c>
      <c r="L187" t="inlineStr">
        <is>
          <t>New York : Academic Press, c1976-1982.</t>
        </is>
      </c>
      <c r="M187" t="inlineStr">
        <is>
          <t>1976</t>
        </is>
      </c>
      <c r="N187" t="inlineStr">
        <is>
          <t>3rd ed.</t>
        </is>
      </c>
      <c r="O187" t="inlineStr">
        <is>
          <t>eng</t>
        </is>
      </c>
      <c r="P187" t="inlineStr">
        <is>
          <t>nyu</t>
        </is>
      </c>
      <c r="R187" t="inlineStr">
        <is>
          <t xml:space="preserve">QU </t>
        </is>
      </c>
      <c r="S187" t="n">
        <v>1</v>
      </c>
      <c r="T187" t="n">
        <v>4</v>
      </c>
      <c r="U187" t="inlineStr">
        <is>
          <t>2003-03-05</t>
        </is>
      </c>
      <c r="V187" t="inlineStr">
        <is>
          <t>2003-03-05</t>
        </is>
      </c>
      <c r="W187" t="inlineStr">
        <is>
          <t>1988-01-26</t>
        </is>
      </c>
      <c r="X187" t="inlineStr">
        <is>
          <t>1988-01-26</t>
        </is>
      </c>
      <c r="Y187" t="n">
        <v>587</v>
      </c>
      <c r="Z187" t="n">
        <v>467</v>
      </c>
      <c r="AA187" t="n">
        <v>512</v>
      </c>
      <c r="AB187" t="n">
        <v>5</v>
      </c>
      <c r="AC187" t="n">
        <v>5</v>
      </c>
      <c r="AD187" t="n">
        <v>17</v>
      </c>
      <c r="AE187" t="n">
        <v>19</v>
      </c>
      <c r="AF187" t="n">
        <v>5</v>
      </c>
      <c r="AG187" t="n">
        <v>7</v>
      </c>
      <c r="AH187" t="n">
        <v>6</v>
      </c>
      <c r="AI187" t="n">
        <v>7</v>
      </c>
      <c r="AJ187" t="n">
        <v>7</v>
      </c>
      <c r="AK187" t="n">
        <v>7</v>
      </c>
      <c r="AL187" t="n">
        <v>4</v>
      </c>
      <c r="AM187" t="n">
        <v>4</v>
      </c>
      <c r="AN187" t="n">
        <v>0</v>
      </c>
      <c r="AO187" t="n">
        <v>0</v>
      </c>
      <c r="AP187" t="inlineStr">
        <is>
          <t>No</t>
        </is>
      </c>
      <c r="AQ187" t="inlineStr">
        <is>
          <t>Yes</t>
        </is>
      </c>
      <c r="AR187">
        <f>HYPERLINK("http://catalog.hathitrust.org/Record/000149872","HathiTrust Record")</f>
        <v/>
      </c>
      <c r="AS187">
        <f>HYPERLINK("https://creighton-primo.hosted.exlibrisgroup.com/primo-explore/search?tab=default_tab&amp;search_scope=EVERYTHING&amp;vid=01CRU&amp;lang=en_US&amp;offset=0&amp;query=any,contains,991000897669702656","Catalog Record")</f>
        <v/>
      </c>
      <c r="AT187">
        <f>HYPERLINK("http://www.worldcat.org/oclc/980216","WorldCat Record")</f>
        <v/>
      </c>
      <c r="AU187" t="inlineStr">
        <is>
          <t>3893625784:eng</t>
        </is>
      </c>
      <c r="AV187" t="inlineStr">
        <is>
          <t>980216</t>
        </is>
      </c>
      <c r="AW187" t="inlineStr">
        <is>
          <t>991000897669702656</t>
        </is>
      </c>
      <c r="AX187" t="inlineStr">
        <is>
          <t>991000897669702656</t>
        </is>
      </c>
      <c r="AY187" t="inlineStr">
        <is>
          <t>2271389130002656</t>
        </is>
      </c>
      <c r="AZ187" t="inlineStr">
        <is>
          <t>BOOK</t>
        </is>
      </c>
      <c r="BC187" t="inlineStr">
        <is>
          <t>30001000158073</t>
        </is>
      </c>
      <c r="BD187" t="inlineStr">
        <is>
          <t>893740537</t>
        </is>
      </c>
    </row>
    <row r="188">
      <c r="A188" t="inlineStr">
        <is>
          <t>No</t>
        </is>
      </c>
      <c r="B188" t="inlineStr">
        <is>
          <t>QU 55 P9675 1976-82 v.2-5</t>
        </is>
      </c>
      <c r="C188" t="inlineStr">
        <is>
          <t>0                      QU 0055000P  9675        1976                                        -82 v.2-5</t>
        </is>
      </c>
      <c r="D188" t="inlineStr">
        <is>
          <t>The proteins / edited by Hans Neurath, Robert L. Hill.</t>
        </is>
      </c>
      <c r="E188" t="inlineStr">
        <is>
          <t>V. 3</t>
        </is>
      </c>
      <c r="F188" t="inlineStr">
        <is>
          <t>Yes</t>
        </is>
      </c>
      <c r="G188" t="inlineStr">
        <is>
          <t>1</t>
        </is>
      </c>
      <c r="H188" t="inlineStr">
        <is>
          <t>No</t>
        </is>
      </c>
      <c r="I188" t="inlineStr">
        <is>
          <t>No</t>
        </is>
      </c>
      <c r="J188" t="inlineStr">
        <is>
          <t>0</t>
        </is>
      </c>
      <c r="L188" t="inlineStr">
        <is>
          <t>New York : Academic Press, c1976-1982.</t>
        </is>
      </c>
      <c r="M188" t="inlineStr">
        <is>
          <t>1976</t>
        </is>
      </c>
      <c r="N188" t="inlineStr">
        <is>
          <t>3rd ed.</t>
        </is>
      </c>
      <c r="O188" t="inlineStr">
        <is>
          <t>eng</t>
        </is>
      </c>
      <c r="P188" t="inlineStr">
        <is>
          <t>nyu</t>
        </is>
      </c>
      <c r="R188" t="inlineStr">
        <is>
          <t xml:space="preserve">QU </t>
        </is>
      </c>
      <c r="S188" t="n">
        <v>2</v>
      </c>
      <c r="T188" t="n">
        <v>4</v>
      </c>
      <c r="U188" t="inlineStr">
        <is>
          <t>1999-08-29</t>
        </is>
      </c>
      <c r="V188" t="inlineStr">
        <is>
          <t>2003-03-05</t>
        </is>
      </c>
      <c r="W188" t="inlineStr">
        <is>
          <t>1988-01-26</t>
        </is>
      </c>
      <c r="X188" t="inlineStr">
        <is>
          <t>1988-01-26</t>
        </is>
      </c>
      <c r="Y188" t="n">
        <v>587</v>
      </c>
      <c r="Z188" t="n">
        <v>467</v>
      </c>
      <c r="AA188" t="n">
        <v>512</v>
      </c>
      <c r="AB188" t="n">
        <v>5</v>
      </c>
      <c r="AC188" t="n">
        <v>5</v>
      </c>
      <c r="AD188" t="n">
        <v>17</v>
      </c>
      <c r="AE188" t="n">
        <v>19</v>
      </c>
      <c r="AF188" t="n">
        <v>5</v>
      </c>
      <c r="AG188" t="n">
        <v>7</v>
      </c>
      <c r="AH188" t="n">
        <v>6</v>
      </c>
      <c r="AI188" t="n">
        <v>7</v>
      </c>
      <c r="AJ188" t="n">
        <v>7</v>
      </c>
      <c r="AK188" t="n">
        <v>7</v>
      </c>
      <c r="AL188" t="n">
        <v>4</v>
      </c>
      <c r="AM188" t="n">
        <v>4</v>
      </c>
      <c r="AN188" t="n">
        <v>0</v>
      </c>
      <c r="AO188" t="n">
        <v>0</v>
      </c>
      <c r="AP188" t="inlineStr">
        <is>
          <t>No</t>
        </is>
      </c>
      <c r="AQ188" t="inlineStr">
        <is>
          <t>Yes</t>
        </is>
      </c>
      <c r="AR188">
        <f>HYPERLINK("http://catalog.hathitrust.org/Record/000149872","HathiTrust Record")</f>
        <v/>
      </c>
      <c r="AS188">
        <f>HYPERLINK("https://creighton-primo.hosted.exlibrisgroup.com/primo-explore/search?tab=default_tab&amp;search_scope=EVERYTHING&amp;vid=01CRU&amp;lang=en_US&amp;offset=0&amp;query=any,contains,991000897669702656","Catalog Record")</f>
        <v/>
      </c>
      <c r="AT188">
        <f>HYPERLINK("http://www.worldcat.org/oclc/980216","WorldCat Record")</f>
        <v/>
      </c>
      <c r="AU188" t="inlineStr">
        <is>
          <t>3893625784:eng</t>
        </is>
      </c>
      <c r="AV188" t="inlineStr">
        <is>
          <t>980216</t>
        </is>
      </c>
      <c r="AW188" t="inlineStr">
        <is>
          <t>991000897669702656</t>
        </is>
      </c>
      <c r="AX188" t="inlineStr">
        <is>
          <t>991000897669702656</t>
        </is>
      </c>
      <c r="AY188" t="inlineStr">
        <is>
          <t>2271389130002656</t>
        </is>
      </c>
      <c r="AZ188" t="inlineStr">
        <is>
          <t>BOOK</t>
        </is>
      </c>
      <c r="BC188" t="inlineStr">
        <is>
          <t>30001000158099</t>
        </is>
      </c>
      <c r="BD188" t="inlineStr">
        <is>
          <t>893743557</t>
        </is>
      </c>
    </row>
    <row r="189">
      <c r="A189" t="inlineStr">
        <is>
          <t>No</t>
        </is>
      </c>
      <c r="B189" t="inlineStr">
        <is>
          <t>QU55 P9675 1990</t>
        </is>
      </c>
      <c r="C189" t="inlineStr">
        <is>
          <t>0                      QU 0055000P  9675        1990</t>
        </is>
      </c>
      <c r="D189" t="inlineStr">
        <is>
          <t>Proteins : form and function / edited by Ralph A. Bradshaw and Mary Purton.</t>
        </is>
      </c>
      <c r="F189" t="inlineStr">
        <is>
          <t>No</t>
        </is>
      </c>
      <c r="G189" t="inlineStr">
        <is>
          <t>1</t>
        </is>
      </c>
      <c r="H189" t="inlineStr">
        <is>
          <t>No</t>
        </is>
      </c>
      <c r="I189" t="inlineStr">
        <is>
          <t>No</t>
        </is>
      </c>
      <c r="J189" t="inlineStr">
        <is>
          <t>0</t>
        </is>
      </c>
      <c r="L189" t="inlineStr">
        <is>
          <t>Cambridge, [Eng.] : Elsevier Trends Journals ; New York, NY, USA : Sole distributors for the USA and Canada, Elsevier Science Pub. Co., c1990.</t>
        </is>
      </c>
      <c r="M189" t="inlineStr">
        <is>
          <t>1990</t>
        </is>
      </c>
      <c r="O189" t="inlineStr">
        <is>
          <t>eng</t>
        </is>
      </c>
      <c r="P189" t="inlineStr">
        <is>
          <t>enk</t>
        </is>
      </c>
      <c r="R189" t="inlineStr">
        <is>
          <t xml:space="preserve">QU </t>
        </is>
      </c>
      <c r="S189" t="n">
        <v>8</v>
      </c>
      <c r="T189" t="n">
        <v>8</v>
      </c>
      <c r="U189" t="inlineStr">
        <is>
          <t>1992-08-17</t>
        </is>
      </c>
      <c r="V189" t="inlineStr">
        <is>
          <t>1992-08-17</t>
        </is>
      </c>
      <c r="W189" t="inlineStr">
        <is>
          <t>1992-04-22</t>
        </is>
      </c>
      <c r="X189" t="inlineStr">
        <is>
          <t>1992-04-22</t>
        </is>
      </c>
      <c r="Y189" t="n">
        <v>220</v>
      </c>
      <c r="Z189" t="n">
        <v>107</v>
      </c>
      <c r="AA189" t="n">
        <v>157</v>
      </c>
      <c r="AB189" t="n">
        <v>2</v>
      </c>
      <c r="AC189" t="n">
        <v>2</v>
      </c>
      <c r="AD189" t="n">
        <v>5</v>
      </c>
      <c r="AE189" t="n">
        <v>8</v>
      </c>
      <c r="AF189" t="n">
        <v>0</v>
      </c>
      <c r="AG189" t="n">
        <v>2</v>
      </c>
      <c r="AH189" t="n">
        <v>3</v>
      </c>
      <c r="AI189" t="n">
        <v>5</v>
      </c>
      <c r="AJ189" t="n">
        <v>3</v>
      </c>
      <c r="AK189" t="n">
        <v>3</v>
      </c>
      <c r="AL189" t="n">
        <v>1</v>
      </c>
      <c r="AM189" t="n">
        <v>1</v>
      </c>
      <c r="AN189" t="n">
        <v>0</v>
      </c>
      <c r="AO189" t="n">
        <v>0</v>
      </c>
      <c r="AP189" t="inlineStr">
        <is>
          <t>No</t>
        </is>
      </c>
      <c r="AQ189" t="inlineStr">
        <is>
          <t>Yes</t>
        </is>
      </c>
      <c r="AR189">
        <f>HYPERLINK("http://catalog.hathitrust.org/Record/002431435","HathiTrust Record")</f>
        <v/>
      </c>
      <c r="AS189">
        <f>HYPERLINK("https://creighton-primo.hosted.exlibrisgroup.com/primo-explore/search?tab=default_tab&amp;search_scope=EVERYTHING&amp;vid=01CRU&amp;lang=en_US&amp;offset=0&amp;query=any,contains,991001299599702656","Catalog Record")</f>
        <v/>
      </c>
      <c r="AT189">
        <f>HYPERLINK("http://www.worldcat.org/oclc/21931647","WorldCat Record")</f>
        <v/>
      </c>
      <c r="AU189" t="inlineStr">
        <is>
          <t>836713938:eng</t>
        </is>
      </c>
      <c r="AV189" t="inlineStr">
        <is>
          <t>21931647</t>
        </is>
      </c>
      <c r="AW189" t="inlineStr">
        <is>
          <t>991001299599702656</t>
        </is>
      </c>
      <c r="AX189" t="inlineStr">
        <is>
          <t>991001299599702656</t>
        </is>
      </c>
      <c r="AY189" t="inlineStr">
        <is>
          <t>2270911720002656</t>
        </is>
      </c>
      <c r="AZ189" t="inlineStr">
        <is>
          <t>BOOK</t>
        </is>
      </c>
      <c r="BB189" t="inlineStr">
        <is>
          <t>9781851665129</t>
        </is>
      </c>
      <c r="BC189" t="inlineStr">
        <is>
          <t>30001002411348</t>
        </is>
      </c>
      <c r="BD189" t="inlineStr">
        <is>
          <t>893546555</t>
        </is>
      </c>
    </row>
    <row r="190">
      <c r="A190" t="inlineStr">
        <is>
          <t>No</t>
        </is>
      </c>
      <c r="B190" t="inlineStr">
        <is>
          <t>QU 55 P96805 1981</t>
        </is>
      </c>
      <c r="C190" t="inlineStr">
        <is>
          <t>0                      QU 0055000P  96805       1981</t>
        </is>
      </c>
      <c r="D190" t="inlineStr">
        <is>
          <t>Protein-protein interactions / edited by C. Frieden, L.W. Nichol.</t>
        </is>
      </c>
      <c r="F190" t="inlineStr">
        <is>
          <t>No</t>
        </is>
      </c>
      <c r="G190" t="inlineStr">
        <is>
          <t>1</t>
        </is>
      </c>
      <c r="H190" t="inlineStr">
        <is>
          <t>No</t>
        </is>
      </c>
      <c r="I190" t="inlineStr">
        <is>
          <t>No</t>
        </is>
      </c>
      <c r="J190" t="inlineStr">
        <is>
          <t>0</t>
        </is>
      </c>
      <c r="L190" t="inlineStr">
        <is>
          <t>New York : Wiley, c1981.</t>
        </is>
      </c>
      <c r="M190" t="inlineStr">
        <is>
          <t>1981</t>
        </is>
      </c>
      <c r="O190" t="inlineStr">
        <is>
          <t>eng</t>
        </is>
      </c>
      <c r="P190" t="inlineStr">
        <is>
          <t>nyu</t>
        </is>
      </c>
      <c r="R190" t="inlineStr">
        <is>
          <t xml:space="preserve">QU </t>
        </is>
      </c>
      <c r="S190" t="n">
        <v>5</v>
      </c>
      <c r="T190" t="n">
        <v>5</v>
      </c>
      <c r="U190" t="inlineStr">
        <is>
          <t>1997-06-07</t>
        </is>
      </c>
      <c r="V190" t="inlineStr">
        <is>
          <t>1997-06-07</t>
        </is>
      </c>
      <c r="W190" t="inlineStr">
        <is>
          <t>1987-11-13</t>
        </is>
      </c>
      <c r="X190" t="inlineStr">
        <is>
          <t>1987-11-13</t>
        </is>
      </c>
      <c r="Y190" t="n">
        <v>326</v>
      </c>
      <c r="Z190" t="n">
        <v>237</v>
      </c>
      <c r="AA190" t="n">
        <v>243</v>
      </c>
      <c r="AB190" t="n">
        <v>3</v>
      </c>
      <c r="AC190" t="n">
        <v>3</v>
      </c>
      <c r="AD190" t="n">
        <v>6</v>
      </c>
      <c r="AE190" t="n">
        <v>6</v>
      </c>
      <c r="AF190" t="n">
        <v>1</v>
      </c>
      <c r="AG190" t="n">
        <v>1</v>
      </c>
      <c r="AH190" t="n">
        <v>3</v>
      </c>
      <c r="AI190" t="n">
        <v>3</v>
      </c>
      <c r="AJ190" t="n">
        <v>3</v>
      </c>
      <c r="AK190" t="n">
        <v>3</v>
      </c>
      <c r="AL190" t="n">
        <v>2</v>
      </c>
      <c r="AM190" t="n">
        <v>2</v>
      </c>
      <c r="AN190" t="n">
        <v>0</v>
      </c>
      <c r="AO190" t="n">
        <v>0</v>
      </c>
      <c r="AP190" t="inlineStr">
        <is>
          <t>No</t>
        </is>
      </c>
      <c r="AQ190" t="inlineStr">
        <is>
          <t>Yes</t>
        </is>
      </c>
      <c r="AR190">
        <f>HYPERLINK("http://catalog.hathitrust.org/Record/000271078","HathiTrust Record")</f>
        <v/>
      </c>
      <c r="AS190">
        <f>HYPERLINK("https://creighton-primo.hosted.exlibrisgroup.com/primo-explore/search?tab=default_tab&amp;search_scope=EVERYTHING&amp;vid=01CRU&amp;lang=en_US&amp;offset=0&amp;query=any,contains,991000897759702656","Catalog Record")</f>
        <v/>
      </c>
      <c r="AT190">
        <f>HYPERLINK("http://www.worldcat.org/oclc/7178723","WorldCat Record")</f>
        <v/>
      </c>
      <c r="AU190" t="inlineStr">
        <is>
          <t>355683403:eng</t>
        </is>
      </c>
      <c r="AV190" t="inlineStr">
        <is>
          <t>7178723</t>
        </is>
      </c>
      <c r="AW190" t="inlineStr">
        <is>
          <t>991000897759702656</t>
        </is>
      </c>
      <c r="AX190" t="inlineStr">
        <is>
          <t>991000897759702656</t>
        </is>
      </c>
      <c r="AY190" t="inlineStr">
        <is>
          <t>2267597160002656</t>
        </is>
      </c>
      <c r="AZ190" t="inlineStr">
        <is>
          <t>BOOK</t>
        </is>
      </c>
      <c r="BB190" t="inlineStr">
        <is>
          <t>9780471049791</t>
        </is>
      </c>
      <c r="BC190" t="inlineStr">
        <is>
          <t>30001000158123</t>
        </is>
      </c>
      <c r="BD190" t="inlineStr">
        <is>
          <t>893551888</t>
        </is>
      </c>
    </row>
    <row r="191">
      <c r="A191" t="inlineStr">
        <is>
          <t>No</t>
        </is>
      </c>
      <c r="B191" t="inlineStr">
        <is>
          <t>QU 55 P9688 1990</t>
        </is>
      </c>
      <c r="C191" t="inlineStr">
        <is>
          <t>0                      QU 0055000P  9688        1990</t>
        </is>
      </c>
      <c r="D191" t="inlineStr">
        <is>
          <t>Protein function : a practical approach / edited by T.E. Creighton.</t>
        </is>
      </c>
      <c r="F191" t="inlineStr">
        <is>
          <t>No</t>
        </is>
      </c>
      <c r="G191" t="inlineStr">
        <is>
          <t>1</t>
        </is>
      </c>
      <c r="H191" t="inlineStr">
        <is>
          <t>No</t>
        </is>
      </c>
      <c r="I191" t="inlineStr">
        <is>
          <t>No</t>
        </is>
      </c>
      <c r="J191" t="inlineStr">
        <is>
          <t>0</t>
        </is>
      </c>
      <c r="L191" t="inlineStr">
        <is>
          <t>Oxford ; New York : IRL Press, c1990.</t>
        </is>
      </c>
      <c r="M191" t="inlineStr">
        <is>
          <t>1990</t>
        </is>
      </c>
      <c r="N191" t="inlineStr">
        <is>
          <t>Corr. ed.</t>
        </is>
      </c>
      <c r="O191" t="inlineStr">
        <is>
          <t>eng</t>
        </is>
      </c>
      <c r="P191" t="inlineStr">
        <is>
          <t>enk</t>
        </is>
      </c>
      <c r="Q191" t="inlineStr">
        <is>
          <t>The Practical approach series.</t>
        </is>
      </c>
      <c r="R191" t="inlineStr">
        <is>
          <t xml:space="preserve">QU </t>
        </is>
      </c>
      <c r="S191" t="n">
        <v>13</v>
      </c>
      <c r="T191" t="n">
        <v>13</v>
      </c>
      <c r="U191" t="inlineStr">
        <is>
          <t>1996-04-24</t>
        </is>
      </c>
      <c r="V191" t="inlineStr">
        <is>
          <t>1996-04-24</t>
        </is>
      </c>
      <c r="W191" t="inlineStr">
        <is>
          <t>1993-02-04</t>
        </is>
      </c>
      <c r="X191" t="inlineStr">
        <is>
          <t>1993-02-04</t>
        </is>
      </c>
      <c r="Y191" t="n">
        <v>6</v>
      </c>
      <c r="Z191" t="n">
        <v>6</v>
      </c>
      <c r="AA191" t="n">
        <v>398</v>
      </c>
      <c r="AB191" t="n">
        <v>1</v>
      </c>
      <c r="AC191" t="n">
        <v>3</v>
      </c>
      <c r="AD191" t="n">
        <v>0</v>
      </c>
      <c r="AE191" t="n">
        <v>17</v>
      </c>
      <c r="AF191" t="n">
        <v>0</v>
      </c>
      <c r="AG191" t="n">
        <v>4</v>
      </c>
      <c r="AH191" t="n">
        <v>0</v>
      </c>
      <c r="AI191" t="n">
        <v>5</v>
      </c>
      <c r="AJ191" t="n">
        <v>0</v>
      </c>
      <c r="AK191" t="n">
        <v>11</v>
      </c>
      <c r="AL191" t="n">
        <v>0</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HYPERLINK("https://creighton-primo.hosted.exlibrisgroup.com/primo-explore/search?tab=default_tab&amp;search_scope=EVERYTHING&amp;vid=01CRU&amp;lang=en_US&amp;offset=0&amp;query=any,contains,991001428649702656","Catalog Record")</f>
        <v/>
      </c>
      <c r="AT191">
        <f>HYPERLINK("http://www.worldcat.org/oclc/23812971","WorldCat Record")</f>
        <v/>
      </c>
      <c r="AU191" t="inlineStr">
        <is>
          <t>353994863:eng</t>
        </is>
      </c>
      <c r="AV191" t="inlineStr">
        <is>
          <t>23812971</t>
        </is>
      </c>
      <c r="AW191" t="inlineStr">
        <is>
          <t>991001428649702656</t>
        </is>
      </c>
      <c r="AX191" t="inlineStr">
        <is>
          <t>991001428649702656</t>
        </is>
      </c>
      <c r="AY191" t="inlineStr">
        <is>
          <t>2266866200002656</t>
        </is>
      </c>
      <c r="AZ191" t="inlineStr">
        <is>
          <t>BOOK</t>
        </is>
      </c>
      <c r="BC191" t="inlineStr">
        <is>
          <t>30001002527903</t>
        </is>
      </c>
      <c r="BD191" t="inlineStr">
        <is>
          <t>893731992</t>
        </is>
      </c>
    </row>
    <row r="192">
      <c r="A192" t="inlineStr">
        <is>
          <t>No</t>
        </is>
      </c>
      <c r="B192" t="inlineStr">
        <is>
          <t>QU 55 P969011 1998</t>
        </is>
      </c>
      <c r="C192" t="inlineStr">
        <is>
          <t>0                      QU 0055000P  969011      1998</t>
        </is>
      </c>
      <c r="D192" t="inlineStr">
        <is>
          <t>Protein synthesis : methods and protocols / edited by Robin Martin.</t>
        </is>
      </c>
      <c r="F192" t="inlineStr">
        <is>
          <t>No</t>
        </is>
      </c>
      <c r="G192" t="inlineStr">
        <is>
          <t>1</t>
        </is>
      </c>
      <c r="H192" t="inlineStr">
        <is>
          <t>No</t>
        </is>
      </c>
      <c r="I192" t="inlineStr">
        <is>
          <t>No</t>
        </is>
      </c>
      <c r="J192" t="inlineStr">
        <is>
          <t>0</t>
        </is>
      </c>
      <c r="L192" t="inlineStr">
        <is>
          <t>Totowa, N.J. : Humana Press, c1998.</t>
        </is>
      </c>
      <c r="M192" t="inlineStr">
        <is>
          <t>1998</t>
        </is>
      </c>
      <c r="O192" t="inlineStr">
        <is>
          <t>eng</t>
        </is>
      </c>
      <c r="P192" t="inlineStr">
        <is>
          <t>nju</t>
        </is>
      </c>
      <c r="Q192" t="inlineStr">
        <is>
          <t>Methods in molecular biology ; 77</t>
        </is>
      </c>
      <c r="R192" t="inlineStr">
        <is>
          <t xml:space="preserve">QU </t>
        </is>
      </c>
      <c r="S192" t="n">
        <v>7</v>
      </c>
      <c r="T192" t="n">
        <v>7</v>
      </c>
      <c r="U192" t="inlineStr">
        <is>
          <t>2003-03-19</t>
        </is>
      </c>
      <c r="V192" t="inlineStr">
        <is>
          <t>2003-03-19</t>
        </is>
      </c>
      <c r="W192" t="inlineStr">
        <is>
          <t>1999-01-07</t>
        </is>
      </c>
      <c r="X192" t="inlineStr">
        <is>
          <t>1999-01-07</t>
        </is>
      </c>
      <c r="Y192" t="n">
        <v>165</v>
      </c>
      <c r="Z192" t="n">
        <v>112</v>
      </c>
      <c r="AA192" t="n">
        <v>178</v>
      </c>
      <c r="AB192" t="n">
        <v>2</v>
      </c>
      <c r="AC192" t="n">
        <v>3</v>
      </c>
      <c r="AD192" t="n">
        <v>2</v>
      </c>
      <c r="AE192" t="n">
        <v>5</v>
      </c>
      <c r="AF192" t="n">
        <v>0</v>
      </c>
      <c r="AG192" t="n">
        <v>1</v>
      </c>
      <c r="AH192" t="n">
        <v>0</v>
      </c>
      <c r="AI192" t="n">
        <v>1</v>
      </c>
      <c r="AJ192" t="n">
        <v>1</v>
      </c>
      <c r="AK192" t="n">
        <v>2</v>
      </c>
      <c r="AL192" t="n">
        <v>1</v>
      </c>
      <c r="AM192" t="n">
        <v>2</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HYPERLINK("https://creighton-primo.hosted.exlibrisgroup.com/primo-explore/search?tab=default_tab&amp;search_scope=EVERYTHING&amp;vid=01CRU&amp;lang=en_US&amp;offset=0&amp;query=any,contains,991001527039702656","Catalog Record")</f>
        <v/>
      </c>
      <c r="AT192">
        <f>HYPERLINK("http://www.worldcat.org/oclc/39236421","WorldCat Record")</f>
        <v/>
      </c>
      <c r="AU192" t="inlineStr">
        <is>
          <t>807217660:eng</t>
        </is>
      </c>
      <c r="AV192" t="inlineStr">
        <is>
          <t>39236421</t>
        </is>
      </c>
      <c r="AW192" t="inlineStr">
        <is>
          <t>991001527039702656</t>
        </is>
      </c>
      <c r="AX192" t="inlineStr">
        <is>
          <t>991001527039702656</t>
        </is>
      </c>
      <c r="AY192" t="inlineStr">
        <is>
          <t>2258774680002656</t>
        </is>
      </c>
      <c r="AZ192" t="inlineStr">
        <is>
          <t>BOOK</t>
        </is>
      </c>
      <c r="BB192" t="inlineStr">
        <is>
          <t>9780896033979</t>
        </is>
      </c>
      <c r="BC192" t="inlineStr">
        <is>
          <t>30001003960079</t>
        </is>
      </c>
      <c r="BD192" t="inlineStr">
        <is>
          <t>893649298</t>
        </is>
      </c>
    </row>
    <row r="193">
      <c r="A193" t="inlineStr">
        <is>
          <t>No</t>
        </is>
      </c>
      <c r="B193" t="inlineStr">
        <is>
          <t>QU 55 R295 1989</t>
        </is>
      </c>
      <c r="C193" t="inlineStr">
        <is>
          <t>0                      QU 0055000R  295         1989</t>
        </is>
      </c>
      <c r="D193" t="inlineStr">
        <is>
          <t>Receptor phosphorylation / editor, Virinder K. Moudgil.</t>
        </is>
      </c>
      <c r="F193" t="inlineStr">
        <is>
          <t>No</t>
        </is>
      </c>
      <c r="G193" t="inlineStr">
        <is>
          <t>1</t>
        </is>
      </c>
      <c r="H193" t="inlineStr">
        <is>
          <t>No</t>
        </is>
      </c>
      <c r="I193" t="inlineStr">
        <is>
          <t>No</t>
        </is>
      </c>
      <c r="J193" t="inlineStr">
        <is>
          <t>0</t>
        </is>
      </c>
      <c r="L193" t="inlineStr">
        <is>
          <t>Boca Raton, Fla. : CRC Press, c1989.</t>
        </is>
      </c>
      <c r="M193" t="inlineStr">
        <is>
          <t>1989</t>
        </is>
      </c>
      <c r="O193" t="inlineStr">
        <is>
          <t>eng</t>
        </is>
      </c>
      <c r="P193" t="inlineStr">
        <is>
          <t>flu</t>
        </is>
      </c>
      <c r="R193" t="inlineStr">
        <is>
          <t xml:space="preserve">QU </t>
        </is>
      </c>
      <c r="S193" t="n">
        <v>8</v>
      </c>
      <c r="T193" t="n">
        <v>8</v>
      </c>
      <c r="U193" t="inlineStr">
        <is>
          <t>1993-10-04</t>
        </is>
      </c>
      <c r="V193" t="inlineStr">
        <is>
          <t>1993-10-04</t>
        </is>
      </c>
      <c r="W193" t="inlineStr">
        <is>
          <t>1989-08-29</t>
        </is>
      </c>
      <c r="X193" t="inlineStr">
        <is>
          <t>1989-08-29</t>
        </is>
      </c>
      <c r="Y193" t="n">
        <v>131</v>
      </c>
      <c r="Z193" t="n">
        <v>98</v>
      </c>
      <c r="AA193" t="n">
        <v>136</v>
      </c>
      <c r="AB193" t="n">
        <v>1</v>
      </c>
      <c r="AC193" t="n">
        <v>1</v>
      </c>
      <c r="AD193" t="n">
        <v>4</v>
      </c>
      <c r="AE193" t="n">
        <v>4</v>
      </c>
      <c r="AF193" t="n">
        <v>0</v>
      </c>
      <c r="AG193" t="n">
        <v>0</v>
      </c>
      <c r="AH193" t="n">
        <v>4</v>
      </c>
      <c r="AI193" t="n">
        <v>4</v>
      </c>
      <c r="AJ193" t="n">
        <v>2</v>
      </c>
      <c r="AK193" t="n">
        <v>2</v>
      </c>
      <c r="AL193" t="n">
        <v>0</v>
      </c>
      <c r="AM193" t="n">
        <v>0</v>
      </c>
      <c r="AN193" t="n">
        <v>0</v>
      </c>
      <c r="AO193" t="n">
        <v>0</v>
      </c>
      <c r="AP193" t="inlineStr">
        <is>
          <t>No</t>
        </is>
      </c>
      <c r="AQ193" t="inlineStr">
        <is>
          <t>Yes</t>
        </is>
      </c>
      <c r="AR193">
        <f>HYPERLINK("http://catalog.hathitrust.org/Record/001099991","HathiTrust Record")</f>
        <v/>
      </c>
      <c r="AS193">
        <f>HYPERLINK("https://creighton-primo.hosted.exlibrisgroup.com/primo-explore/search?tab=default_tab&amp;search_scope=EVERYTHING&amp;vid=01CRU&amp;lang=en_US&amp;offset=0&amp;query=any,contains,991001314149702656","Catalog Record")</f>
        <v/>
      </c>
      <c r="AT193">
        <f>HYPERLINK("http://www.worldcat.org/oclc/17548219","WorldCat Record")</f>
        <v/>
      </c>
      <c r="AU193" t="inlineStr">
        <is>
          <t>55065187:eng</t>
        </is>
      </c>
      <c r="AV193" t="inlineStr">
        <is>
          <t>17548219</t>
        </is>
      </c>
      <c r="AW193" t="inlineStr">
        <is>
          <t>991001314149702656</t>
        </is>
      </c>
      <c r="AX193" t="inlineStr">
        <is>
          <t>991001314149702656</t>
        </is>
      </c>
      <c r="AY193" t="inlineStr">
        <is>
          <t>2269389590002656</t>
        </is>
      </c>
      <c r="AZ193" t="inlineStr">
        <is>
          <t>BOOK</t>
        </is>
      </c>
      <c r="BB193" t="inlineStr">
        <is>
          <t>9780849363184</t>
        </is>
      </c>
      <c r="BC193" t="inlineStr">
        <is>
          <t>30001001752130</t>
        </is>
      </c>
      <c r="BD193" t="inlineStr">
        <is>
          <t>893455693</t>
        </is>
      </c>
    </row>
    <row r="194">
      <c r="A194" t="inlineStr">
        <is>
          <t>No</t>
        </is>
      </c>
      <c r="B194" t="inlineStr">
        <is>
          <t>QU 55 S578 1992</t>
        </is>
      </c>
      <c r="C194" t="inlineStr">
        <is>
          <t>0                      QU 0055000S  578         1992</t>
        </is>
      </c>
      <c r="D194" t="inlineStr">
        <is>
          <t>Signal transduction : a practical approach / edited by G. Milligan.</t>
        </is>
      </c>
      <c r="F194" t="inlineStr">
        <is>
          <t>No</t>
        </is>
      </c>
      <c r="G194" t="inlineStr">
        <is>
          <t>1</t>
        </is>
      </c>
      <c r="H194" t="inlineStr">
        <is>
          <t>No</t>
        </is>
      </c>
      <c r="I194" t="inlineStr">
        <is>
          <t>No</t>
        </is>
      </c>
      <c r="J194" t="inlineStr">
        <is>
          <t>0</t>
        </is>
      </c>
      <c r="L194" t="inlineStr">
        <is>
          <t>Oxford ; New York : IRL Press, c1992.</t>
        </is>
      </c>
      <c r="M194" t="inlineStr">
        <is>
          <t>1992</t>
        </is>
      </c>
      <c r="O194" t="inlineStr">
        <is>
          <t>eng</t>
        </is>
      </c>
      <c r="P194" t="inlineStr">
        <is>
          <t>enk</t>
        </is>
      </c>
      <c r="Q194" t="inlineStr">
        <is>
          <t>Practical approach series</t>
        </is>
      </c>
      <c r="R194" t="inlineStr">
        <is>
          <t xml:space="preserve">QU </t>
        </is>
      </c>
      <c r="S194" t="n">
        <v>24</v>
      </c>
      <c r="T194" t="n">
        <v>24</v>
      </c>
      <c r="U194" t="inlineStr">
        <is>
          <t>2001-10-22</t>
        </is>
      </c>
      <c r="V194" t="inlineStr">
        <is>
          <t>2001-10-22</t>
        </is>
      </c>
      <c r="W194" t="inlineStr">
        <is>
          <t>1993-08-27</t>
        </is>
      </c>
      <c r="X194" t="inlineStr">
        <is>
          <t>1993-08-27</t>
        </is>
      </c>
      <c r="Y194" t="n">
        <v>224</v>
      </c>
      <c r="Z194" t="n">
        <v>136</v>
      </c>
      <c r="AA194" t="n">
        <v>142</v>
      </c>
      <c r="AB194" t="n">
        <v>2</v>
      </c>
      <c r="AC194" t="n">
        <v>2</v>
      </c>
      <c r="AD194" t="n">
        <v>5</v>
      </c>
      <c r="AE194" t="n">
        <v>5</v>
      </c>
      <c r="AF194" t="n">
        <v>2</v>
      </c>
      <c r="AG194" t="n">
        <v>2</v>
      </c>
      <c r="AH194" t="n">
        <v>1</v>
      </c>
      <c r="AI194" t="n">
        <v>1</v>
      </c>
      <c r="AJ194" t="n">
        <v>4</v>
      </c>
      <c r="AK194" t="n">
        <v>4</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HYPERLINK("https://creighton-primo.hosted.exlibrisgroup.com/primo-explore/search?tab=default_tab&amp;search_scope=EVERYTHING&amp;vid=01CRU&amp;lang=en_US&amp;offset=0&amp;query=any,contains,991001510009702656","Catalog Record")</f>
        <v/>
      </c>
      <c r="AT194">
        <f>HYPERLINK("http://www.worldcat.org/oclc/25245568","WorldCat Record")</f>
        <v/>
      </c>
      <c r="AU194" t="inlineStr">
        <is>
          <t>4923308677:eng</t>
        </is>
      </c>
      <c r="AV194" t="inlineStr">
        <is>
          <t>25245568</t>
        </is>
      </c>
      <c r="AW194" t="inlineStr">
        <is>
          <t>991001510009702656</t>
        </is>
      </c>
      <c r="AX194" t="inlineStr">
        <is>
          <t>991001510009702656</t>
        </is>
      </c>
      <c r="AY194" t="inlineStr">
        <is>
          <t>2271336640002656</t>
        </is>
      </c>
      <c r="AZ194" t="inlineStr">
        <is>
          <t>BOOK</t>
        </is>
      </c>
      <c r="BB194" t="inlineStr">
        <is>
          <t>9780199632954</t>
        </is>
      </c>
      <c r="BC194" t="inlineStr">
        <is>
          <t>30001002600650</t>
        </is>
      </c>
      <c r="BD194" t="inlineStr">
        <is>
          <t>893358674</t>
        </is>
      </c>
    </row>
    <row r="195">
      <c r="A195" t="inlineStr">
        <is>
          <t>No</t>
        </is>
      </c>
      <c r="B195" t="inlineStr">
        <is>
          <t>QU 55 S9269 1987</t>
        </is>
      </c>
      <c r="C195" t="inlineStr">
        <is>
          <t>0                      QU 0055000S  9269        1987</t>
        </is>
      </c>
      <c r="D195" t="inlineStr">
        <is>
          <t>Structure and function of collagen types / edited by Richard Mayne, Robert E. Burgeson.</t>
        </is>
      </c>
      <c r="F195" t="inlineStr">
        <is>
          <t>No</t>
        </is>
      </c>
      <c r="G195" t="inlineStr">
        <is>
          <t>1</t>
        </is>
      </c>
      <c r="H195" t="inlineStr">
        <is>
          <t>No</t>
        </is>
      </c>
      <c r="I195" t="inlineStr">
        <is>
          <t>No</t>
        </is>
      </c>
      <c r="J195" t="inlineStr">
        <is>
          <t>0</t>
        </is>
      </c>
      <c r="L195" t="inlineStr">
        <is>
          <t>Orlando : Academic Press, c1987.</t>
        </is>
      </c>
      <c r="M195" t="inlineStr">
        <is>
          <t>1987</t>
        </is>
      </c>
      <c r="O195" t="inlineStr">
        <is>
          <t>eng</t>
        </is>
      </c>
      <c r="P195" t="inlineStr">
        <is>
          <t>xxu</t>
        </is>
      </c>
      <c r="Q195" t="inlineStr">
        <is>
          <t>Biology of extracellular matrix</t>
        </is>
      </c>
      <c r="R195" t="inlineStr">
        <is>
          <t xml:space="preserve">QU </t>
        </is>
      </c>
      <c r="S195" t="n">
        <v>8</v>
      </c>
      <c r="T195" t="n">
        <v>8</v>
      </c>
      <c r="U195" t="inlineStr">
        <is>
          <t>2005-08-03</t>
        </is>
      </c>
      <c r="V195" t="inlineStr">
        <is>
          <t>2005-08-03</t>
        </is>
      </c>
      <c r="W195" t="inlineStr">
        <is>
          <t>1988-05-17</t>
        </is>
      </c>
      <c r="X195" t="inlineStr">
        <is>
          <t>1988-05-17</t>
        </is>
      </c>
      <c r="Y195" t="n">
        <v>258</v>
      </c>
      <c r="Z195" t="n">
        <v>187</v>
      </c>
      <c r="AA195" t="n">
        <v>232</v>
      </c>
      <c r="AB195" t="n">
        <v>2</v>
      </c>
      <c r="AC195" t="n">
        <v>3</v>
      </c>
      <c r="AD195" t="n">
        <v>7</v>
      </c>
      <c r="AE195" t="n">
        <v>11</v>
      </c>
      <c r="AF195" t="n">
        <v>0</v>
      </c>
      <c r="AG195" t="n">
        <v>2</v>
      </c>
      <c r="AH195" t="n">
        <v>3</v>
      </c>
      <c r="AI195" t="n">
        <v>5</v>
      </c>
      <c r="AJ195" t="n">
        <v>5</v>
      </c>
      <c r="AK195" t="n">
        <v>5</v>
      </c>
      <c r="AL195" t="n">
        <v>1</v>
      </c>
      <c r="AM195" t="n">
        <v>2</v>
      </c>
      <c r="AN195" t="n">
        <v>0</v>
      </c>
      <c r="AO195" t="n">
        <v>0</v>
      </c>
      <c r="AP195" t="inlineStr">
        <is>
          <t>No</t>
        </is>
      </c>
      <c r="AQ195" t="inlineStr">
        <is>
          <t>Yes</t>
        </is>
      </c>
      <c r="AR195">
        <f>HYPERLINK("http://catalog.hathitrust.org/Record/000880740","HathiTrust Record")</f>
        <v/>
      </c>
      <c r="AS195">
        <f>HYPERLINK("https://creighton-primo.hosted.exlibrisgroup.com/primo-explore/search?tab=default_tab&amp;search_scope=EVERYTHING&amp;vid=01CRU&amp;lang=en_US&amp;offset=0&amp;query=any,contains,991001191649702656","Catalog Record")</f>
        <v/>
      </c>
      <c r="AT195">
        <f>HYPERLINK("http://www.worldcat.org/oclc/15016315","WorldCat Record")</f>
        <v/>
      </c>
      <c r="AU195" t="inlineStr">
        <is>
          <t>355525764:eng</t>
        </is>
      </c>
      <c r="AV195" t="inlineStr">
        <is>
          <t>15016315</t>
        </is>
      </c>
      <c r="AW195" t="inlineStr">
        <is>
          <t>991001191649702656</t>
        </is>
      </c>
      <c r="AX195" t="inlineStr">
        <is>
          <t>991001191649702656</t>
        </is>
      </c>
      <c r="AY195" t="inlineStr">
        <is>
          <t>2258096610002656</t>
        </is>
      </c>
      <c r="AZ195" t="inlineStr">
        <is>
          <t>BOOK</t>
        </is>
      </c>
      <c r="BB195" t="inlineStr">
        <is>
          <t>9780124812802</t>
        </is>
      </c>
      <c r="BC195" t="inlineStr">
        <is>
          <t>30001000979452</t>
        </is>
      </c>
      <c r="BD195" t="inlineStr">
        <is>
          <t>893268188</t>
        </is>
      </c>
    </row>
    <row r="196">
      <c r="A196" t="inlineStr">
        <is>
          <t>No</t>
        </is>
      </c>
      <c r="B196" t="inlineStr">
        <is>
          <t>QU 55 T255 1988</t>
        </is>
      </c>
      <c r="C196" t="inlineStr">
        <is>
          <t>0                      QU 0055000T  255         1988</t>
        </is>
      </c>
      <c r="D196" t="inlineStr">
        <is>
          <t>Techniques in protein chemistry / edited by Tony E. Hugli.</t>
        </is>
      </c>
      <c r="F196" t="inlineStr">
        <is>
          <t>No</t>
        </is>
      </c>
      <c r="G196" t="inlineStr">
        <is>
          <t>1</t>
        </is>
      </c>
      <c r="H196" t="inlineStr">
        <is>
          <t>No</t>
        </is>
      </c>
      <c r="I196" t="inlineStr">
        <is>
          <t>No</t>
        </is>
      </c>
      <c r="J196" t="inlineStr">
        <is>
          <t>0</t>
        </is>
      </c>
      <c r="L196" t="inlineStr">
        <is>
          <t>San Diego : Academic Press, c1989.</t>
        </is>
      </c>
      <c r="M196" t="inlineStr">
        <is>
          <t>1989</t>
        </is>
      </c>
      <c r="O196" t="inlineStr">
        <is>
          <t>eng</t>
        </is>
      </c>
      <c r="P196" t="inlineStr">
        <is>
          <t>cau</t>
        </is>
      </c>
      <c r="R196" t="inlineStr">
        <is>
          <t xml:space="preserve">QU </t>
        </is>
      </c>
      <c r="S196" t="n">
        <v>9</v>
      </c>
      <c r="T196" t="n">
        <v>9</v>
      </c>
      <c r="U196" t="inlineStr">
        <is>
          <t>2006-09-15</t>
        </is>
      </c>
      <c r="V196" t="inlineStr">
        <is>
          <t>2006-09-15</t>
        </is>
      </c>
      <c r="W196" t="inlineStr">
        <is>
          <t>1989-10-25</t>
        </is>
      </c>
      <c r="X196" t="inlineStr">
        <is>
          <t>1989-10-25</t>
        </is>
      </c>
      <c r="Y196" t="n">
        <v>283</v>
      </c>
      <c r="Z196" t="n">
        <v>193</v>
      </c>
      <c r="AA196" t="n">
        <v>239</v>
      </c>
      <c r="AB196" t="n">
        <v>1</v>
      </c>
      <c r="AC196" t="n">
        <v>2</v>
      </c>
      <c r="AD196" t="n">
        <v>10</v>
      </c>
      <c r="AE196" t="n">
        <v>12</v>
      </c>
      <c r="AF196" t="n">
        <v>3</v>
      </c>
      <c r="AG196" t="n">
        <v>3</v>
      </c>
      <c r="AH196" t="n">
        <v>5</v>
      </c>
      <c r="AI196" t="n">
        <v>6</v>
      </c>
      <c r="AJ196" t="n">
        <v>6</v>
      </c>
      <c r="AK196" t="n">
        <v>6</v>
      </c>
      <c r="AL196" t="n">
        <v>0</v>
      </c>
      <c r="AM196" t="n">
        <v>1</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HYPERLINK("https://creighton-primo.hosted.exlibrisgroup.com/primo-explore/search?tab=default_tab&amp;search_scope=EVERYTHING&amp;vid=01CRU&amp;lang=en_US&amp;offset=0&amp;query=any,contains,991001355039702656","Catalog Record")</f>
        <v/>
      </c>
      <c r="AT196">
        <f>HYPERLINK("http://www.worldcat.org/oclc/19125353","WorldCat Record")</f>
        <v/>
      </c>
      <c r="AU196" t="inlineStr">
        <is>
          <t>3943533802:eng</t>
        </is>
      </c>
      <c r="AV196" t="inlineStr">
        <is>
          <t>19125353</t>
        </is>
      </c>
      <c r="AW196" t="inlineStr">
        <is>
          <t>991001355039702656</t>
        </is>
      </c>
      <c r="AX196" t="inlineStr">
        <is>
          <t>991001355039702656</t>
        </is>
      </c>
      <c r="AY196" t="inlineStr">
        <is>
          <t>2269484530002656</t>
        </is>
      </c>
      <c r="AZ196" t="inlineStr">
        <is>
          <t>BOOK</t>
        </is>
      </c>
      <c r="BB196" t="inlineStr">
        <is>
          <t>9780126820010</t>
        </is>
      </c>
      <c r="BC196" t="inlineStr">
        <is>
          <t>30001001795766</t>
        </is>
      </c>
      <c r="BD196" t="inlineStr">
        <is>
          <t>893284726</t>
        </is>
      </c>
    </row>
    <row r="197">
      <c r="A197" t="inlineStr">
        <is>
          <t>No</t>
        </is>
      </c>
      <c r="B197" t="inlineStr">
        <is>
          <t>QU 55 T2554 1994</t>
        </is>
      </c>
      <c r="C197" t="inlineStr">
        <is>
          <t>0                      QU 0055000T  2554        1994</t>
        </is>
      </c>
      <c r="D197" t="inlineStr">
        <is>
          <t>Techniques in protein chemistry V / edited by John W. Crabb.</t>
        </is>
      </c>
      <c r="F197" t="inlineStr">
        <is>
          <t>No</t>
        </is>
      </c>
      <c r="G197" t="inlineStr">
        <is>
          <t>1</t>
        </is>
      </c>
      <c r="H197" t="inlineStr">
        <is>
          <t>No</t>
        </is>
      </c>
      <c r="I197" t="inlineStr">
        <is>
          <t>No</t>
        </is>
      </c>
      <c r="J197" t="inlineStr">
        <is>
          <t>0</t>
        </is>
      </c>
      <c r="L197" t="inlineStr">
        <is>
          <t>San Diego : Academic Press, c1994.</t>
        </is>
      </c>
      <c r="M197" t="inlineStr">
        <is>
          <t>1994</t>
        </is>
      </c>
      <c r="O197" t="inlineStr">
        <is>
          <t>eng</t>
        </is>
      </c>
      <c r="P197" t="inlineStr">
        <is>
          <t>cau</t>
        </is>
      </c>
      <c r="R197" t="inlineStr">
        <is>
          <t xml:space="preserve">QU </t>
        </is>
      </c>
      <c r="S197" t="n">
        <v>14</v>
      </c>
      <c r="T197" t="n">
        <v>14</v>
      </c>
      <c r="U197" t="inlineStr">
        <is>
          <t>2006-09-15</t>
        </is>
      </c>
      <c r="V197" t="inlineStr">
        <is>
          <t>2006-09-15</t>
        </is>
      </c>
      <c r="W197" t="inlineStr">
        <is>
          <t>1994-09-12</t>
        </is>
      </c>
      <c r="X197" t="inlineStr">
        <is>
          <t>1994-09-12</t>
        </is>
      </c>
      <c r="Y197" t="n">
        <v>142</v>
      </c>
      <c r="Z197" t="n">
        <v>106</v>
      </c>
      <c r="AA197" t="n">
        <v>144</v>
      </c>
      <c r="AB197" t="n">
        <v>1</v>
      </c>
      <c r="AC197" t="n">
        <v>2</v>
      </c>
      <c r="AD197" t="n">
        <v>1</v>
      </c>
      <c r="AE197" t="n">
        <v>4</v>
      </c>
      <c r="AF197" t="n">
        <v>0</v>
      </c>
      <c r="AG197" t="n">
        <v>1</v>
      </c>
      <c r="AH197" t="n">
        <v>0</v>
      </c>
      <c r="AI197" t="n">
        <v>1</v>
      </c>
      <c r="AJ197" t="n">
        <v>1</v>
      </c>
      <c r="AK197" t="n">
        <v>1</v>
      </c>
      <c r="AL197" t="n">
        <v>0</v>
      </c>
      <c r="AM197" t="n">
        <v>1</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HYPERLINK("https://creighton-primo.hosted.exlibrisgroup.com/primo-explore/search?tab=default_tab&amp;search_scope=EVERYTHING&amp;vid=01CRU&amp;lang=en_US&amp;offset=0&amp;query=any,contains,991000678339702656","Catalog Record")</f>
        <v/>
      </c>
      <c r="AT197">
        <f>HYPERLINK("http://www.worldcat.org/oclc/29519827","WorldCat Record")</f>
        <v/>
      </c>
      <c r="AU197" t="inlineStr">
        <is>
          <t>9437909280:eng</t>
        </is>
      </c>
      <c r="AV197" t="inlineStr">
        <is>
          <t>29519827</t>
        </is>
      </c>
      <c r="AW197" t="inlineStr">
        <is>
          <t>991000678339702656</t>
        </is>
      </c>
      <c r="AX197" t="inlineStr">
        <is>
          <t>991000678339702656</t>
        </is>
      </c>
      <c r="AY197" t="inlineStr">
        <is>
          <t>2255768630002656</t>
        </is>
      </c>
      <c r="AZ197" t="inlineStr">
        <is>
          <t>BOOK</t>
        </is>
      </c>
      <c r="BB197" t="inlineStr">
        <is>
          <t>9780121947101</t>
        </is>
      </c>
      <c r="BC197" t="inlineStr">
        <is>
          <t>30001002696963</t>
        </is>
      </c>
      <c r="BD197" t="inlineStr">
        <is>
          <t>893376752</t>
        </is>
      </c>
    </row>
    <row r="198">
      <c r="A198" t="inlineStr">
        <is>
          <t>No</t>
        </is>
      </c>
      <c r="B198" t="inlineStr">
        <is>
          <t>QU55 W181p 2002</t>
        </is>
      </c>
      <c r="C198" t="inlineStr">
        <is>
          <t>0                      QU 0055000W  181p        2002</t>
        </is>
      </c>
      <c r="D198" t="inlineStr">
        <is>
          <t>The protein protocols handbook / edited by John M. Walker.</t>
        </is>
      </c>
      <c r="F198" t="inlineStr">
        <is>
          <t>No</t>
        </is>
      </c>
      <c r="G198" t="inlineStr">
        <is>
          <t>1</t>
        </is>
      </c>
      <c r="H198" t="inlineStr">
        <is>
          <t>No</t>
        </is>
      </c>
      <c r="I198" t="inlineStr">
        <is>
          <t>No</t>
        </is>
      </c>
      <c r="J198" t="inlineStr">
        <is>
          <t>0</t>
        </is>
      </c>
      <c r="L198" t="inlineStr">
        <is>
          <t>Totowa, N.J. : Humana Press, c2002.</t>
        </is>
      </c>
      <c r="M198" t="inlineStr">
        <is>
          <t>2002</t>
        </is>
      </c>
      <c r="N198" t="inlineStr">
        <is>
          <t>2nd ed.</t>
        </is>
      </c>
      <c r="O198" t="inlineStr">
        <is>
          <t>eng</t>
        </is>
      </c>
      <c r="P198" t="inlineStr">
        <is>
          <t>nju</t>
        </is>
      </c>
      <c r="R198" t="inlineStr">
        <is>
          <t xml:space="preserve">QU </t>
        </is>
      </c>
      <c r="S198" t="n">
        <v>2</v>
      </c>
      <c r="T198" t="n">
        <v>2</v>
      </c>
      <c r="U198" t="inlineStr">
        <is>
          <t>2010-01-12</t>
        </is>
      </c>
      <c r="V198" t="inlineStr">
        <is>
          <t>2010-01-12</t>
        </is>
      </c>
      <c r="W198" t="inlineStr">
        <is>
          <t>2003-06-12</t>
        </is>
      </c>
      <c r="X198" t="inlineStr">
        <is>
          <t>2003-06-12</t>
        </is>
      </c>
      <c r="Y198" t="n">
        <v>372</v>
      </c>
      <c r="Z198" t="n">
        <v>244</v>
      </c>
      <c r="AA198" t="n">
        <v>1001</v>
      </c>
      <c r="AB198" t="n">
        <v>1</v>
      </c>
      <c r="AC198" t="n">
        <v>5</v>
      </c>
      <c r="AD198" t="n">
        <v>4</v>
      </c>
      <c r="AE198" t="n">
        <v>21</v>
      </c>
      <c r="AF198" t="n">
        <v>0</v>
      </c>
      <c r="AG198" t="n">
        <v>8</v>
      </c>
      <c r="AH198" t="n">
        <v>3</v>
      </c>
      <c r="AI198" t="n">
        <v>5</v>
      </c>
      <c r="AJ198" t="n">
        <v>3</v>
      </c>
      <c r="AK198" t="n">
        <v>9</v>
      </c>
      <c r="AL198" t="n">
        <v>0</v>
      </c>
      <c r="AM198" t="n">
        <v>3</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HYPERLINK("https://creighton-primo.hosted.exlibrisgroup.com/primo-explore/search?tab=default_tab&amp;search_scope=EVERYTHING&amp;vid=01CRU&amp;lang=en_US&amp;offset=0&amp;query=any,contains,991000350449702656","Catalog Record")</f>
        <v/>
      </c>
      <c r="AT198">
        <f>HYPERLINK("http://www.worldcat.org/oclc/47894343","WorldCat Record")</f>
        <v/>
      </c>
      <c r="AU198" t="inlineStr">
        <is>
          <t>4915213108:eng</t>
        </is>
      </c>
      <c r="AV198" t="inlineStr">
        <is>
          <t>47894343</t>
        </is>
      </c>
      <c r="AW198" t="inlineStr">
        <is>
          <t>991000350449702656</t>
        </is>
      </c>
      <c r="AX198" t="inlineStr">
        <is>
          <t>991000350449702656</t>
        </is>
      </c>
      <c r="AY198" t="inlineStr">
        <is>
          <t>2261795830002656</t>
        </is>
      </c>
      <c r="AZ198" t="inlineStr">
        <is>
          <t>BOOK</t>
        </is>
      </c>
      <c r="BB198" t="inlineStr">
        <is>
          <t>9780896039407</t>
        </is>
      </c>
      <c r="BC198" t="inlineStr">
        <is>
          <t>30001004440337</t>
        </is>
      </c>
      <c r="BD198" t="inlineStr">
        <is>
          <t>893123011</t>
        </is>
      </c>
    </row>
    <row r="199">
      <c r="A199" t="inlineStr">
        <is>
          <t>No</t>
        </is>
      </c>
      <c r="B199" t="inlineStr">
        <is>
          <t>QU 55 W973n 1986</t>
        </is>
      </c>
      <c r="C199" t="inlineStr">
        <is>
          <t>0                      QU 0055000W  973n        1986</t>
        </is>
      </c>
      <c r="D199" t="inlineStr">
        <is>
          <t>NMR of proteins and nucleic acids / Kurt Wüthrich.</t>
        </is>
      </c>
      <c r="F199" t="inlineStr">
        <is>
          <t>No</t>
        </is>
      </c>
      <c r="G199" t="inlineStr">
        <is>
          <t>1</t>
        </is>
      </c>
      <c r="H199" t="inlineStr">
        <is>
          <t>No</t>
        </is>
      </c>
      <c r="I199" t="inlineStr">
        <is>
          <t>No</t>
        </is>
      </c>
      <c r="J199" t="inlineStr">
        <is>
          <t>0</t>
        </is>
      </c>
      <c r="K199" t="inlineStr">
        <is>
          <t>Wüthrich, Kurt.</t>
        </is>
      </c>
      <c r="L199" t="inlineStr">
        <is>
          <t>New York : Wiley, c1986.</t>
        </is>
      </c>
      <c r="M199" t="inlineStr">
        <is>
          <t>1986</t>
        </is>
      </c>
      <c r="O199" t="inlineStr">
        <is>
          <t>eng</t>
        </is>
      </c>
      <c r="P199" t="inlineStr">
        <is>
          <t>xxu</t>
        </is>
      </c>
      <c r="Q199" t="inlineStr">
        <is>
          <t>George Fisher Baker non-resident lectureship in chemistry at Cornell University</t>
        </is>
      </c>
      <c r="R199" t="inlineStr">
        <is>
          <t xml:space="preserve">QU </t>
        </is>
      </c>
      <c r="S199" t="n">
        <v>8</v>
      </c>
      <c r="T199" t="n">
        <v>8</v>
      </c>
      <c r="U199" t="inlineStr">
        <is>
          <t>2003-11-22</t>
        </is>
      </c>
      <c r="V199" t="inlineStr">
        <is>
          <t>2003-11-22</t>
        </is>
      </c>
      <c r="W199" t="inlineStr">
        <is>
          <t>1988-01-28</t>
        </is>
      </c>
      <c r="X199" t="inlineStr">
        <is>
          <t>1988-01-28</t>
        </is>
      </c>
      <c r="Y199" t="n">
        <v>539</v>
      </c>
      <c r="Z199" t="n">
        <v>400</v>
      </c>
      <c r="AA199" t="n">
        <v>407</v>
      </c>
      <c r="AB199" t="n">
        <v>3</v>
      </c>
      <c r="AC199" t="n">
        <v>3</v>
      </c>
      <c r="AD199" t="n">
        <v>14</v>
      </c>
      <c r="AE199" t="n">
        <v>14</v>
      </c>
      <c r="AF199" t="n">
        <v>0</v>
      </c>
      <c r="AG199" t="n">
        <v>0</v>
      </c>
      <c r="AH199" t="n">
        <v>6</v>
      </c>
      <c r="AI199" t="n">
        <v>6</v>
      </c>
      <c r="AJ199" t="n">
        <v>9</v>
      </c>
      <c r="AK199" t="n">
        <v>9</v>
      </c>
      <c r="AL199" t="n">
        <v>2</v>
      </c>
      <c r="AM199" t="n">
        <v>2</v>
      </c>
      <c r="AN199" t="n">
        <v>0</v>
      </c>
      <c r="AO199" t="n">
        <v>0</v>
      </c>
      <c r="AP199" t="inlineStr">
        <is>
          <t>No</t>
        </is>
      </c>
      <c r="AQ199" t="inlineStr">
        <is>
          <t>Yes</t>
        </is>
      </c>
      <c r="AR199">
        <f>HYPERLINK("http://catalog.hathitrust.org/Record/000440408","HathiTrust Record")</f>
        <v/>
      </c>
      <c r="AS199">
        <f>HYPERLINK("https://creighton-primo.hosted.exlibrisgroup.com/primo-explore/search?tab=default_tab&amp;search_scope=EVERYTHING&amp;vid=01CRU&amp;lang=en_US&amp;offset=0&amp;query=any,contains,991000897839702656","Catalog Record")</f>
        <v/>
      </c>
      <c r="AT199">
        <f>HYPERLINK("http://www.worldcat.org/oclc/13425181","WorldCat Record")</f>
        <v/>
      </c>
      <c r="AU199" t="inlineStr">
        <is>
          <t>7294811:eng</t>
        </is>
      </c>
      <c r="AV199" t="inlineStr">
        <is>
          <t>13425181</t>
        </is>
      </c>
      <c r="AW199" t="inlineStr">
        <is>
          <t>991000897839702656</t>
        </is>
      </c>
      <c r="AX199" t="inlineStr">
        <is>
          <t>991000897839702656</t>
        </is>
      </c>
      <c r="AY199" t="inlineStr">
        <is>
          <t>2264006420002656</t>
        </is>
      </c>
      <c r="AZ199" t="inlineStr">
        <is>
          <t>BOOK</t>
        </is>
      </c>
      <c r="BB199" t="inlineStr">
        <is>
          <t>9780471828938</t>
        </is>
      </c>
      <c r="BC199" t="inlineStr">
        <is>
          <t>30001000158230</t>
        </is>
      </c>
      <c r="BD199" t="inlineStr">
        <is>
          <t>893560732</t>
        </is>
      </c>
    </row>
    <row r="200">
      <c r="A200" t="inlineStr">
        <is>
          <t>No</t>
        </is>
      </c>
      <c r="B200" t="inlineStr">
        <is>
          <t>QU 55.2 R627 2008</t>
        </is>
      </c>
      <c r="C200" t="inlineStr">
        <is>
          <t>0                      QU 0055200R  627         2008</t>
        </is>
      </c>
      <c r="D200" t="inlineStr">
        <is>
          <t>RNA binding proteins in development and disease, 2008 / editor, Robert B. Denman.</t>
        </is>
      </c>
      <c r="F200" t="inlineStr">
        <is>
          <t>No</t>
        </is>
      </c>
      <c r="G200" t="inlineStr">
        <is>
          <t>1</t>
        </is>
      </c>
      <c r="H200" t="inlineStr">
        <is>
          <t>No</t>
        </is>
      </c>
      <c r="I200" t="inlineStr">
        <is>
          <t>No</t>
        </is>
      </c>
      <c r="J200" t="inlineStr">
        <is>
          <t>0</t>
        </is>
      </c>
      <c r="L200" t="inlineStr">
        <is>
          <t>Kerala : Research Signpost, 2008.</t>
        </is>
      </c>
      <c r="M200" t="inlineStr">
        <is>
          <t>2008</t>
        </is>
      </c>
      <c r="O200" t="inlineStr">
        <is>
          <t>eng</t>
        </is>
      </c>
      <c r="P200" t="inlineStr">
        <is>
          <t xml:space="preserve">ii </t>
        </is>
      </c>
      <c r="R200" t="inlineStr">
        <is>
          <t xml:space="preserve">QU </t>
        </is>
      </c>
      <c r="S200" t="n">
        <v>2</v>
      </c>
      <c r="T200" t="n">
        <v>2</v>
      </c>
      <c r="U200" t="inlineStr">
        <is>
          <t>2010-09-10</t>
        </is>
      </c>
      <c r="V200" t="inlineStr">
        <is>
          <t>2010-09-10</t>
        </is>
      </c>
      <c r="W200" t="inlineStr">
        <is>
          <t>2010-02-10</t>
        </is>
      </c>
      <c r="X200" t="inlineStr">
        <is>
          <t>2010-02-10</t>
        </is>
      </c>
      <c r="Y200" t="n">
        <v>5</v>
      </c>
      <c r="Z200" t="n">
        <v>3</v>
      </c>
      <c r="AA200" t="n">
        <v>3</v>
      </c>
      <c r="AB200" t="n">
        <v>1</v>
      </c>
      <c r="AC200" t="n">
        <v>1</v>
      </c>
      <c r="AD200" t="n">
        <v>0</v>
      </c>
      <c r="AE200" t="n">
        <v>0</v>
      </c>
      <c r="AF200" t="n">
        <v>0</v>
      </c>
      <c r="AG200" t="n">
        <v>0</v>
      </c>
      <c r="AH200" t="n">
        <v>0</v>
      </c>
      <c r="AI200" t="n">
        <v>0</v>
      </c>
      <c r="AJ200" t="n">
        <v>0</v>
      </c>
      <c r="AK200" t="n">
        <v>0</v>
      </c>
      <c r="AL200" t="n">
        <v>0</v>
      </c>
      <c r="AM200" t="n">
        <v>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HYPERLINK("https://creighton-primo.hosted.exlibrisgroup.com/primo-explore/search?tab=default_tab&amp;search_scope=EVERYTHING&amp;vid=01CRU&amp;lang=en_US&amp;offset=0&amp;query=any,contains,991001575989702656","Catalog Record")</f>
        <v/>
      </c>
      <c r="AT200">
        <f>HYPERLINK("http://www.worldcat.org/oclc/318100657","WorldCat Record")</f>
        <v/>
      </c>
      <c r="AU200" t="inlineStr">
        <is>
          <t>5612537916:eng</t>
        </is>
      </c>
      <c r="AV200" t="inlineStr">
        <is>
          <t>318100657</t>
        </is>
      </c>
      <c r="AW200" t="inlineStr">
        <is>
          <t>991001575989702656</t>
        </is>
      </c>
      <c r="AX200" t="inlineStr">
        <is>
          <t>991001575989702656</t>
        </is>
      </c>
      <c r="AY200" t="inlineStr">
        <is>
          <t>2264486290002656</t>
        </is>
      </c>
      <c r="AZ200" t="inlineStr">
        <is>
          <t>BOOK</t>
        </is>
      </c>
      <c r="BB200" t="inlineStr">
        <is>
          <t>9788130802213</t>
        </is>
      </c>
      <c r="BC200" t="inlineStr">
        <is>
          <t>30001005344785</t>
        </is>
      </c>
      <c r="BD200" t="inlineStr">
        <is>
          <t>893149343</t>
        </is>
      </c>
    </row>
    <row r="201">
      <c r="A201" t="inlineStr">
        <is>
          <t>No</t>
        </is>
      </c>
      <c r="B201" t="inlineStr">
        <is>
          <t>QU 56 C557 1998</t>
        </is>
      </c>
      <c r="C201" t="inlineStr">
        <is>
          <t>0                      QU 0056000C  557         1998</t>
        </is>
      </c>
      <c r="D201" t="inlineStr">
        <is>
          <t>Chromatin : a practical approach / edited by H. Gould.</t>
        </is>
      </c>
      <c r="F201" t="inlineStr">
        <is>
          <t>No</t>
        </is>
      </c>
      <c r="G201" t="inlineStr">
        <is>
          <t>1</t>
        </is>
      </c>
      <c r="H201" t="inlineStr">
        <is>
          <t>No</t>
        </is>
      </c>
      <c r="I201" t="inlineStr">
        <is>
          <t>No</t>
        </is>
      </c>
      <c r="J201" t="inlineStr">
        <is>
          <t>0</t>
        </is>
      </c>
      <c r="L201" t="inlineStr">
        <is>
          <t>Oxford ; New York : Oxford University Press, c1998.</t>
        </is>
      </c>
      <c r="M201" t="inlineStr">
        <is>
          <t>1998</t>
        </is>
      </c>
      <c r="O201" t="inlineStr">
        <is>
          <t>eng</t>
        </is>
      </c>
      <c r="P201" t="inlineStr">
        <is>
          <t>enk</t>
        </is>
      </c>
      <c r="Q201" t="inlineStr">
        <is>
          <t>The practical approach series</t>
        </is>
      </c>
      <c r="R201" t="inlineStr">
        <is>
          <t xml:space="preserve">QU </t>
        </is>
      </c>
      <c r="S201" t="n">
        <v>5</v>
      </c>
      <c r="T201" t="n">
        <v>5</v>
      </c>
      <c r="U201" t="inlineStr">
        <is>
          <t>2000-02-15</t>
        </is>
      </c>
      <c r="V201" t="inlineStr">
        <is>
          <t>2000-02-15</t>
        </is>
      </c>
      <c r="W201" t="inlineStr">
        <is>
          <t>1999-03-19</t>
        </is>
      </c>
      <c r="X201" t="inlineStr">
        <is>
          <t>1999-03-19</t>
        </is>
      </c>
      <c r="Y201" t="n">
        <v>150</v>
      </c>
      <c r="Z201" t="n">
        <v>94</v>
      </c>
      <c r="AA201" t="n">
        <v>95</v>
      </c>
      <c r="AB201" t="n">
        <v>1</v>
      </c>
      <c r="AC201" t="n">
        <v>1</v>
      </c>
      <c r="AD201" t="n">
        <v>2</v>
      </c>
      <c r="AE201" t="n">
        <v>2</v>
      </c>
      <c r="AF201" t="n">
        <v>0</v>
      </c>
      <c r="AG201" t="n">
        <v>0</v>
      </c>
      <c r="AH201" t="n">
        <v>0</v>
      </c>
      <c r="AI201" t="n">
        <v>0</v>
      </c>
      <c r="AJ201" t="n">
        <v>2</v>
      </c>
      <c r="AK201" t="n">
        <v>2</v>
      </c>
      <c r="AL201" t="n">
        <v>0</v>
      </c>
      <c r="AM201" t="n">
        <v>0</v>
      </c>
      <c r="AN201" t="n">
        <v>0</v>
      </c>
      <c r="AO201" t="n">
        <v>0</v>
      </c>
      <c r="AP201" t="inlineStr">
        <is>
          <t>No</t>
        </is>
      </c>
      <c r="AQ201" t="inlineStr">
        <is>
          <t>Yes</t>
        </is>
      </c>
      <c r="AR201">
        <f>HYPERLINK("http://catalog.hathitrust.org/Record/003979973","HathiTrust Record")</f>
        <v/>
      </c>
      <c r="AS201">
        <f>HYPERLINK("https://creighton-primo.hosted.exlibrisgroup.com/primo-explore/search?tab=default_tab&amp;search_scope=EVERYTHING&amp;vid=01CRU&amp;lang=en_US&amp;offset=0&amp;query=any,contains,991001420529702656","Catalog Record")</f>
        <v/>
      </c>
      <c r="AT201">
        <f>HYPERLINK("http://www.worldcat.org/oclc/37836582","WorldCat Record")</f>
        <v/>
      </c>
      <c r="AU201" t="inlineStr">
        <is>
          <t>806625616:eng</t>
        </is>
      </c>
      <c r="AV201" t="inlineStr">
        <is>
          <t>37836582</t>
        </is>
      </c>
      <c r="AW201" t="inlineStr">
        <is>
          <t>991001420529702656</t>
        </is>
      </c>
      <c r="AX201" t="inlineStr">
        <is>
          <t>991001420529702656</t>
        </is>
      </c>
      <c r="AY201" t="inlineStr">
        <is>
          <t>2270199180002656</t>
        </is>
      </c>
      <c r="AZ201" t="inlineStr">
        <is>
          <t>BOOK</t>
        </is>
      </c>
      <c r="BB201" t="inlineStr">
        <is>
          <t>9780199635993</t>
        </is>
      </c>
      <c r="BC201" t="inlineStr">
        <is>
          <t>30001003854140</t>
        </is>
      </c>
      <c r="BD201" t="inlineStr">
        <is>
          <t>893834665</t>
        </is>
      </c>
    </row>
    <row r="202">
      <c r="A202" t="inlineStr">
        <is>
          <t>No</t>
        </is>
      </c>
      <c r="B202" t="inlineStr">
        <is>
          <t>QU 57 A633 1996</t>
        </is>
      </c>
      <c r="C202" t="inlineStr">
        <is>
          <t>0                      QU 0057000A  633         1996</t>
        </is>
      </c>
      <c r="D202" t="inlineStr">
        <is>
          <t>Antisense therapeutics / edited by Sudhir Agrawal.</t>
        </is>
      </c>
      <c r="F202" t="inlineStr">
        <is>
          <t>No</t>
        </is>
      </c>
      <c r="G202" t="inlineStr">
        <is>
          <t>1</t>
        </is>
      </c>
      <c r="H202" t="inlineStr">
        <is>
          <t>No</t>
        </is>
      </c>
      <c r="I202" t="inlineStr">
        <is>
          <t>No</t>
        </is>
      </c>
      <c r="J202" t="inlineStr">
        <is>
          <t>0</t>
        </is>
      </c>
      <c r="L202" t="inlineStr">
        <is>
          <t>Totowa, N.J. : Humana Press, c1996.</t>
        </is>
      </c>
      <c r="M202" t="inlineStr">
        <is>
          <t>1996</t>
        </is>
      </c>
      <c r="O202" t="inlineStr">
        <is>
          <t>eng</t>
        </is>
      </c>
      <c r="P202" t="inlineStr">
        <is>
          <t>nju</t>
        </is>
      </c>
      <c r="Q202" t="inlineStr">
        <is>
          <t>Methods in molecular medicine</t>
        </is>
      </c>
      <c r="R202" t="inlineStr">
        <is>
          <t xml:space="preserve">QU </t>
        </is>
      </c>
      <c r="S202" t="n">
        <v>7</v>
      </c>
      <c r="T202" t="n">
        <v>7</v>
      </c>
      <c r="U202" t="inlineStr">
        <is>
          <t>2001-09-25</t>
        </is>
      </c>
      <c r="V202" t="inlineStr">
        <is>
          <t>2001-09-25</t>
        </is>
      </c>
      <c r="W202" t="inlineStr">
        <is>
          <t>1997-06-05</t>
        </is>
      </c>
      <c r="X202" t="inlineStr">
        <is>
          <t>1997-06-05</t>
        </is>
      </c>
      <c r="Y202" t="n">
        <v>133</v>
      </c>
      <c r="Z202" t="n">
        <v>86</v>
      </c>
      <c r="AA202" t="n">
        <v>150</v>
      </c>
      <c r="AB202" t="n">
        <v>1</v>
      </c>
      <c r="AC202" t="n">
        <v>3</v>
      </c>
      <c r="AD202" t="n">
        <v>1</v>
      </c>
      <c r="AE202" t="n">
        <v>5</v>
      </c>
      <c r="AF202" t="n">
        <v>0</v>
      </c>
      <c r="AG202" t="n">
        <v>1</v>
      </c>
      <c r="AH202" t="n">
        <v>1</v>
      </c>
      <c r="AI202" t="n">
        <v>2</v>
      </c>
      <c r="AJ202" t="n">
        <v>0</v>
      </c>
      <c r="AK202" t="n">
        <v>1</v>
      </c>
      <c r="AL202" t="n">
        <v>0</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HYPERLINK("https://creighton-primo.hosted.exlibrisgroup.com/primo-explore/search?tab=default_tab&amp;search_scope=EVERYTHING&amp;vid=01CRU&amp;lang=en_US&amp;offset=0&amp;query=any,contains,991001558059702656","Catalog Record")</f>
        <v/>
      </c>
      <c r="AT202">
        <f>HYPERLINK("http://www.worldcat.org/oclc/34121036","WorldCat Record")</f>
        <v/>
      </c>
      <c r="AU202" t="inlineStr">
        <is>
          <t>56038012:eng</t>
        </is>
      </c>
      <c r="AV202" t="inlineStr">
        <is>
          <t>34121036</t>
        </is>
      </c>
      <c r="AW202" t="inlineStr">
        <is>
          <t>991001558059702656</t>
        </is>
      </c>
      <c r="AX202" t="inlineStr">
        <is>
          <t>991001558059702656</t>
        </is>
      </c>
      <c r="AY202" t="inlineStr">
        <is>
          <t>2269204860002656</t>
        </is>
      </c>
      <c r="AZ202" t="inlineStr">
        <is>
          <t>BOOK</t>
        </is>
      </c>
      <c r="BB202" t="inlineStr">
        <is>
          <t>9780896033054</t>
        </is>
      </c>
      <c r="BC202" t="inlineStr">
        <is>
          <t>30001003670819</t>
        </is>
      </c>
      <c r="BD202" t="inlineStr">
        <is>
          <t>893552638</t>
        </is>
      </c>
    </row>
    <row r="203">
      <c r="A203" t="inlineStr">
        <is>
          <t>No</t>
        </is>
      </c>
      <c r="B203" t="inlineStr">
        <is>
          <t>QU 58 B615 1981</t>
        </is>
      </c>
      <c r="C203" t="inlineStr">
        <is>
          <t>0                      QU 0058000B  615         1981</t>
        </is>
      </c>
      <c r="D203" t="inlineStr">
        <is>
          <t>The biochemistry of the nucleic acids.</t>
        </is>
      </c>
      <c r="F203" t="inlineStr">
        <is>
          <t>No</t>
        </is>
      </c>
      <c r="G203" t="inlineStr">
        <is>
          <t>1</t>
        </is>
      </c>
      <c r="H203" t="inlineStr">
        <is>
          <t>No</t>
        </is>
      </c>
      <c r="I203" t="inlineStr">
        <is>
          <t>Yes</t>
        </is>
      </c>
      <c r="J203" t="inlineStr">
        <is>
          <t>0</t>
        </is>
      </c>
      <c r="L203" t="inlineStr">
        <is>
          <t>London ; New York : Chapman and Hall, c1981.</t>
        </is>
      </c>
      <c r="M203" t="inlineStr">
        <is>
          <t>1981</t>
        </is>
      </c>
      <c r="N203" t="inlineStr">
        <is>
          <t>9th ed. / by R.L.P. Adams ... [et al.].</t>
        </is>
      </c>
      <c r="O203" t="inlineStr">
        <is>
          <t>eng</t>
        </is>
      </c>
      <c r="P203" t="inlineStr">
        <is>
          <t>enk</t>
        </is>
      </c>
      <c r="R203" t="inlineStr">
        <is>
          <t xml:space="preserve">QU </t>
        </is>
      </c>
      <c r="S203" t="n">
        <v>7</v>
      </c>
      <c r="T203" t="n">
        <v>7</v>
      </c>
      <c r="U203" t="inlineStr">
        <is>
          <t>1990-09-23</t>
        </is>
      </c>
      <c r="V203" t="inlineStr">
        <is>
          <t>1990-09-23</t>
        </is>
      </c>
      <c r="W203" t="inlineStr">
        <is>
          <t>1989-07-01</t>
        </is>
      </c>
      <c r="X203" t="inlineStr">
        <is>
          <t>1989-07-01</t>
        </is>
      </c>
      <c r="Y203" t="n">
        <v>386</v>
      </c>
      <c r="Z203" t="n">
        <v>268</v>
      </c>
      <c r="AA203" t="n">
        <v>605</v>
      </c>
      <c r="AB203" t="n">
        <v>2</v>
      </c>
      <c r="AC203" t="n">
        <v>5</v>
      </c>
      <c r="AD203" t="n">
        <v>7</v>
      </c>
      <c r="AE203" t="n">
        <v>27</v>
      </c>
      <c r="AF203" t="n">
        <v>2</v>
      </c>
      <c r="AG203" t="n">
        <v>9</v>
      </c>
      <c r="AH203" t="n">
        <v>2</v>
      </c>
      <c r="AI203" t="n">
        <v>9</v>
      </c>
      <c r="AJ203" t="n">
        <v>4</v>
      </c>
      <c r="AK203" t="n">
        <v>16</v>
      </c>
      <c r="AL203" t="n">
        <v>1</v>
      </c>
      <c r="AM203" t="n">
        <v>3</v>
      </c>
      <c r="AN203" t="n">
        <v>0</v>
      </c>
      <c r="AO203" t="n">
        <v>0</v>
      </c>
      <c r="AP203" t="inlineStr">
        <is>
          <t>No</t>
        </is>
      </c>
      <c r="AQ203" t="inlineStr">
        <is>
          <t>Yes</t>
        </is>
      </c>
      <c r="AR203">
        <f>HYPERLINK("http://catalog.hathitrust.org/Record/004420421","HathiTrust Record")</f>
        <v/>
      </c>
      <c r="AS203">
        <f>HYPERLINK("https://creighton-primo.hosted.exlibrisgroup.com/primo-explore/search?tab=default_tab&amp;search_scope=EVERYTHING&amp;vid=01CRU&amp;lang=en_US&amp;offset=0&amp;query=any,contains,991000897799702656","Catalog Record")</f>
        <v/>
      </c>
      <c r="AT203">
        <f>HYPERLINK("http://www.worldcat.org/oclc/7983204","WorldCat Record")</f>
        <v/>
      </c>
      <c r="AU203" t="inlineStr">
        <is>
          <t>5090478080:eng</t>
        </is>
      </c>
      <c r="AV203" t="inlineStr">
        <is>
          <t>7983204</t>
        </is>
      </c>
      <c r="AW203" t="inlineStr">
        <is>
          <t>991000897799702656</t>
        </is>
      </c>
      <c r="AX203" t="inlineStr">
        <is>
          <t>991000897799702656</t>
        </is>
      </c>
      <c r="AY203" t="inlineStr">
        <is>
          <t>2259464660002656</t>
        </is>
      </c>
      <c r="AZ203" t="inlineStr">
        <is>
          <t>BOOK</t>
        </is>
      </c>
      <c r="BB203" t="inlineStr">
        <is>
          <t>9780412226809</t>
        </is>
      </c>
      <c r="BC203" t="inlineStr">
        <is>
          <t>30001000158206</t>
        </is>
      </c>
      <c r="BD203" t="inlineStr">
        <is>
          <t>893815883</t>
        </is>
      </c>
    </row>
    <row r="204">
      <c r="A204" t="inlineStr">
        <is>
          <t>No</t>
        </is>
      </c>
      <c r="B204" t="inlineStr">
        <is>
          <t>QU 58 F245r 1998</t>
        </is>
      </c>
      <c r="C204" t="inlineStr">
        <is>
          <t>0                      QU 0058000F  245r        1998</t>
        </is>
      </c>
      <c r="D204" t="inlineStr">
        <is>
          <t>RNA methodologies : a laboratory guide for isolation and characterization / Robert E. Farrell, Jr.</t>
        </is>
      </c>
      <c r="F204" t="inlineStr">
        <is>
          <t>No</t>
        </is>
      </c>
      <c r="G204" t="inlineStr">
        <is>
          <t>1</t>
        </is>
      </c>
      <c r="H204" t="inlineStr">
        <is>
          <t>No</t>
        </is>
      </c>
      <c r="I204" t="inlineStr">
        <is>
          <t>Yes</t>
        </is>
      </c>
      <c r="J204" t="inlineStr">
        <is>
          <t>1</t>
        </is>
      </c>
      <c r="K204" t="inlineStr">
        <is>
          <t>Farrell, Robert E., Jr.</t>
        </is>
      </c>
      <c r="L204" t="inlineStr">
        <is>
          <t>San Diego : Academic Press, c1998.</t>
        </is>
      </c>
      <c r="M204" t="inlineStr">
        <is>
          <t>1998</t>
        </is>
      </c>
      <c r="N204" t="inlineStr">
        <is>
          <t>2nd ed.</t>
        </is>
      </c>
      <c r="O204" t="inlineStr">
        <is>
          <t>eng</t>
        </is>
      </c>
      <c r="P204" t="inlineStr">
        <is>
          <t>cau</t>
        </is>
      </c>
      <c r="R204" t="inlineStr">
        <is>
          <t xml:space="preserve">QU </t>
        </is>
      </c>
      <c r="S204" t="n">
        <v>18</v>
      </c>
      <c r="T204" t="n">
        <v>18</v>
      </c>
      <c r="U204" t="inlineStr">
        <is>
          <t>2006-05-18</t>
        </is>
      </c>
      <c r="V204" t="inlineStr">
        <is>
          <t>2006-05-18</t>
        </is>
      </c>
      <c r="W204" t="inlineStr">
        <is>
          <t>1999-11-18</t>
        </is>
      </c>
      <c r="X204" t="inlineStr">
        <is>
          <t>1999-11-18</t>
        </is>
      </c>
      <c r="Y204" t="n">
        <v>203</v>
      </c>
      <c r="Z204" t="n">
        <v>144</v>
      </c>
      <c r="AA204" t="n">
        <v>1213</v>
      </c>
      <c r="AB204" t="n">
        <v>1</v>
      </c>
      <c r="AC204" t="n">
        <v>16</v>
      </c>
      <c r="AD204" t="n">
        <v>3</v>
      </c>
      <c r="AE204" t="n">
        <v>44</v>
      </c>
      <c r="AF204" t="n">
        <v>0</v>
      </c>
      <c r="AG204" t="n">
        <v>12</v>
      </c>
      <c r="AH204" t="n">
        <v>1</v>
      </c>
      <c r="AI204" t="n">
        <v>10</v>
      </c>
      <c r="AJ204" t="n">
        <v>3</v>
      </c>
      <c r="AK204" t="n">
        <v>13</v>
      </c>
      <c r="AL204" t="n">
        <v>0</v>
      </c>
      <c r="AM204" t="n">
        <v>14</v>
      </c>
      <c r="AN204" t="n">
        <v>0</v>
      </c>
      <c r="AO204" t="n">
        <v>2</v>
      </c>
      <c r="AP204" t="inlineStr">
        <is>
          <t>No</t>
        </is>
      </c>
      <c r="AQ204" t="inlineStr">
        <is>
          <t>No</t>
        </is>
      </c>
      <c r="AS204">
        <f>HYPERLINK("https://creighton-primo.hosted.exlibrisgroup.com/primo-explore/search?tab=default_tab&amp;search_scope=EVERYTHING&amp;vid=01CRU&amp;lang=en_US&amp;offset=0&amp;query=any,contains,991001409309702656","Catalog Record")</f>
        <v/>
      </c>
      <c r="AT204">
        <f>HYPERLINK("http://www.worldcat.org/oclc/40166639","WorldCat Record")</f>
        <v/>
      </c>
      <c r="AU204" t="inlineStr">
        <is>
          <t>4921004707:eng</t>
        </is>
      </c>
      <c r="AV204" t="inlineStr">
        <is>
          <t>40166639</t>
        </is>
      </c>
      <c r="AW204" t="inlineStr">
        <is>
          <t>991001409309702656</t>
        </is>
      </c>
      <c r="AX204" t="inlineStr">
        <is>
          <t>991001409309702656</t>
        </is>
      </c>
      <c r="AY204" t="inlineStr">
        <is>
          <t>2255035370002656</t>
        </is>
      </c>
      <c r="AZ204" t="inlineStr">
        <is>
          <t>BOOK</t>
        </is>
      </c>
      <c r="BB204" t="inlineStr">
        <is>
          <t>9780122496950</t>
        </is>
      </c>
      <c r="BC204" t="inlineStr">
        <is>
          <t>30001003830405</t>
        </is>
      </c>
      <c r="BD204" t="inlineStr">
        <is>
          <t>893633023</t>
        </is>
      </c>
    </row>
    <row r="205">
      <c r="A205" t="inlineStr">
        <is>
          <t>No</t>
        </is>
      </c>
      <c r="B205" t="inlineStr">
        <is>
          <t>QU 58 G11 1990</t>
        </is>
      </c>
      <c r="C205" t="inlineStr">
        <is>
          <t>0                      QU 0058000G  11          1990</t>
        </is>
      </c>
      <c r="D205" t="inlineStr">
        <is>
          <t>G-proteins as mediators of cellular signalling processes / edited by Miles D. Houslay and Graeme Milligan.</t>
        </is>
      </c>
      <c r="F205" t="inlineStr">
        <is>
          <t>No</t>
        </is>
      </c>
      <c r="G205" t="inlineStr">
        <is>
          <t>1</t>
        </is>
      </c>
      <c r="H205" t="inlineStr">
        <is>
          <t>No</t>
        </is>
      </c>
      <c r="I205" t="inlineStr">
        <is>
          <t>No</t>
        </is>
      </c>
      <c r="J205" t="inlineStr">
        <is>
          <t>0</t>
        </is>
      </c>
      <c r="L205" t="inlineStr">
        <is>
          <t>Chichester ; New York : Wiley, c1990.</t>
        </is>
      </c>
      <c r="M205" t="inlineStr">
        <is>
          <t>1990</t>
        </is>
      </c>
      <c r="O205" t="inlineStr">
        <is>
          <t>eng</t>
        </is>
      </c>
      <c r="P205" t="inlineStr">
        <is>
          <t>enk</t>
        </is>
      </c>
      <c r="Q205" t="inlineStr">
        <is>
          <t>Wiley series on molecular pharmacology of cell regulation ; v. 1</t>
        </is>
      </c>
      <c r="R205" t="inlineStr">
        <is>
          <t xml:space="preserve">QU </t>
        </is>
      </c>
      <c r="S205" t="n">
        <v>27</v>
      </c>
      <c r="T205" t="n">
        <v>27</v>
      </c>
      <c r="U205" t="inlineStr">
        <is>
          <t>2000-03-14</t>
        </is>
      </c>
      <c r="V205" t="inlineStr">
        <is>
          <t>2000-03-14</t>
        </is>
      </c>
      <c r="W205" t="inlineStr">
        <is>
          <t>1991-07-02</t>
        </is>
      </c>
      <c r="X205" t="inlineStr">
        <is>
          <t>1991-07-02</t>
        </is>
      </c>
      <c r="Y205" t="n">
        <v>213</v>
      </c>
      <c r="Z205" t="n">
        <v>132</v>
      </c>
      <c r="AA205" t="n">
        <v>134</v>
      </c>
      <c r="AB205" t="n">
        <v>2</v>
      </c>
      <c r="AC205" t="n">
        <v>2</v>
      </c>
      <c r="AD205" t="n">
        <v>6</v>
      </c>
      <c r="AE205" t="n">
        <v>6</v>
      </c>
      <c r="AF205" t="n">
        <v>1</v>
      </c>
      <c r="AG205" t="n">
        <v>1</v>
      </c>
      <c r="AH205" t="n">
        <v>2</v>
      </c>
      <c r="AI205" t="n">
        <v>2</v>
      </c>
      <c r="AJ205" t="n">
        <v>4</v>
      </c>
      <c r="AK205" t="n">
        <v>4</v>
      </c>
      <c r="AL205" t="n">
        <v>1</v>
      </c>
      <c r="AM205" t="n">
        <v>1</v>
      </c>
      <c r="AN205" t="n">
        <v>0</v>
      </c>
      <c r="AO205" t="n">
        <v>0</v>
      </c>
      <c r="AP205" t="inlineStr">
        <is>
          <t>No</t>
        </is>
      </c>
      <c r="AQ205" t="inlineStr">
        <is>
          <t>Yes</t>
        </is>
      </c>
      <c r="AR205">
        <f>HYPERLINK("http://catalog.hathitrust.org/Record/002058178","HathiTrust Record")</f>
        <v/>
      </c>
      <c r="AS205">
        <f>HYPERLINK("https://creighton-primo.hosted.exlibrisgroup.com/primo-explore/search?tab=default_tab&amp;search_scope=EVERYTHING&amp;vid=01CRU&amp;lang=en_US&amp;offset=0&amp;query=any,contains,991000940729702656","Catalog Record")</f>
        <v/>
      </c>
      <c r="AT205">
        <f>HYPERLINK("http://www.worldcat.org/oclc/20263212","WorldCat Record")</f>
        <v/>
      </c>
      <c r="AU205" t="inlineStr">
        <is>
          <t>355362634:eng</t>
        </is>
      </c>
      <c r="AV205" t="inlineStr">
        <is>
          <t>20263212</t>
        </is>
      </c>
      <c r="AW205" t="inlineStr">
        <is>
          <t>991000940729702656</t>
        </is>
      </c>
      <c r="AX205" t="inlineStr">
        <is>
          <t>991000940729702656</t>
        </is>
      </c>
      <c r="AY205" t="inlineStr">
        <is>
          <t>2264655680002656</t>
        </is>
      </c>
      <c r="AZ205" t="inlineStr">
        <is>
          <t>BOOK</t>
        </is>
      </c>
      <c r="BB205" t="inlineStr">
        <is>
          <t>9780471923381</t>
        </is>
      </c>
      <c r="BC205" t="inlineStr">
        <is>
          <t>30001002192559</t>
        </is>
      </c>
      <c r="BD205" t="inlineStr">
        <is>
          <t>893632519</t>
        </is>
      </c>
    </row>
    <row r="206">
      <c r="A206" t="inlineStr">
        <is>
          <t>No</t>
        </is>
      </c>
      <c r="B206" t="inlineStr">
        <is>
          <t>QU 58 I348 1990</t>
        </is>
      </c>
      <c r="C206" t="inlineStr">
        <is>
          <t>0                      QU 0058000I  348         1990</t>
        </is>
      </c>
      <c r="D206" t="inlineStr">
        <is>
          <t>In situ hybridization histochemistry / editor, Marie-Françoise Chesselet.</t>
        </is>
      </c>
      <c r="F206" t="inlineStr">
        <is>
          <t>No</t>
        </is>
      </c>
      <c r="G206" t="inlineStr">
        <is>
          <t>1</t>
        </is>
      </c>
      <c r="H206" t="inlineStr">
        <is>
          <t>No</t>
        </is>
      </c>
      <c r="I206" t="inlineStr">
        <is>
          <t>No</t>
        </is>
      </c>
      <c r="J206" t="inlineStr">
        <is>
          <t>0</t>
        </is>
      </c>
      <c r="L206" t="inlineStr">
        <is>
          <t>Boca Raton : CRC Press, c1990.</t>
        </is>
      </c>
      <c r="M206" t="inlineStr">
        <is>
          <t>1990</t>
        </is>
      </c>
      <c r="O206" t="inlineStr">
        <is>
          <t>eng</t>
        </is>
      </c>
      <c r="P206" t="inlineStr">
        <is>
          <t>flu</t>
        </is>
      </c>
      <c r="R206" t="inlineStr">
        <is>
          <t xml:space="preserve">QU </t>
        </is>
      </c>
      <c r="S206" t="n">
        <v>15</v>
      </c>
      <c r="T206" t="n">
        <v>15</v>
      </c>
      <c r="U206" t="inlineStr">
        <is>
          <t>2001-07-09</t>
        </is>
      </c>
      <c r="V206" t="inlineStr">
        <is>
          <t>2001-07-09</t>
        </is>
      </c>
      <c r="W206" t="inlineStr">
        <is>
          <t>1991-12-02</t>
        </is>
      </c>
      <c r="X206" t="inlineStr">
        <is>
          <t>1991-12-02</t>
        </is>
      </c>
      <c r="Y206" t="n">
        <v>246</v>
      </c>
      <c r="Z206" t="n">
        <v>185</v>
      </c>
      <c r="AA206" t="n">
        <v>190</v>
      </c>
      <c r="AB206" t="n">
        <v>3</v>
      </c>
      <c r="AC206" t="n">
        <v>3</v>
      </c>
      <c r="AD206" t="n">
        <v>6</v>
      </c>
      <c r="AE206" t="n">
        <v>6</v>
      </c>
      <c r="AF206" t="n">
        <v>0</v>
      </c>
      <c r="AG206" t="n">
        <v>0</v>
      </c>
      <c r="AH206" t="n">
        <v>4</v>
      </c>
      <c r="AI206" t="n">
        <v>4</v>
      </c>
      <c r="AJ206" t="n">
        <v>2</v>
      </c>
      <c r="AK206" t="n">
        <v>2</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HYPERLINK("https://creighton-primo.hosted.exlibrisgroup.com/primo-explore/search?tab=default_tab&amp;search_scope=EVERYTHING&amp;vid=01CRU&amp;lang=en_US&amp;offset=0&amp;query=any,contains,991000950239702656","Catalog Record")</f>
        <v/>
      </c>
      <c r="AT206">
        <f>HYPERLINK("http://www.worldcat.org/oclc/20894573","WorldCat Record")</f>
        <v/>
      </c>
      <c r="AU206" t="inlineStr">
        <is>
          <t>22715780:eng</t>
        </is>
      </c>
      <c r="AV206" t="inlineStr">
        <is>
          <t>20894573</t>
        </is>
      </c>
      <c r="AW206" t="inlineStr">
        <is>
          <t>991000950239702656</t>
        </is>
      </c>
      <c r="AX206" t="inlineStr">
        <is>
          <t>991000950239702656</t>
        </is>
      </c>
      <c r="AY206" t="inlineStr">
        <is>
          <t>2266202710002656</t>
        </is>
      </c>
      <c r="AZ206" t="inlineStr">
        <is>
          <t>BOOK</t>
        </is>
      </c>
      <c r="BB206" t="inlineStr">
        <is>
          <t>9780849369124</t>
        </is>
      </c>
      <c r="BC206" t="inlineStr">
        <is>
          <t>30001002194811</t>
        </is>
      </c>
      <c r="BD206" t="inlineStr">
        <is>
          <t>893731553</t>
        </is>
      </c>
    </row>
    <row r="207">
      <c r="A207" t="inlineStr">
        <is>
          <t>No</t>
        </is>
      </c>
      <c r="B207" t="inlineStr">
        <is>
          <t>QU 58 K84d 1980</t>
        </is>
      </c>
      <c r="C207" t="inlineStr">
        <is>
          <t>0                      QU 0058000K  84d         1980</t>
        </is>
      </c>
      <c r="D207" t="inlineStr">
        <is>
          <t>DNA replication / Arthur Kornberg.</t>
        </is>
      </c>
      <c r="F207" t="inlineStr">
        <is>
          <t>No</t>
        </is>
      </c>
      <c r="G207" t="inlineStr">
        <is>
          <t>1</t>
        </is>
      </c>
      <c r="H207" t="inlineStr">
        <is>
          <t>No</t>
        </is>
      </c>
      <c r="I207" t="inlineStr">
        <is>
          <t>Yes</t>
        </is>
      </c>
      <c r="J207" t="inlineStr">
        <is>
          <t>0</t>
        </is>
      </c>
      <c r="K207" t="inlineStr">
        <is>
          <t>Kornberg, Arthur.</t>
        </is>
      </c>
      <c r="L207" t="inlineStr">
        <is>
          <t>San Francisco : Freeman, c1980.</t>
        </is>
      </c>
      <c r="M207" t="inlineStr">
        <is>
          <t>1980</t>
        </is>
      </c>
      <c r="O207" t="inlineStr">
        <is>
          <t>eng</t>
        </is>
      </c>
      <c r="P207" t="inlineStr">
        <is>
          <t>xxu</t>
        </is>
      </c>
      <c r="R207" t="inlineStr">
        <is>
          <t xml:space="preserve">QU </t>
        </is>
      </c>
      <c r="S207" t="n">
        <v>5</v>
      </c>
      <c r="T207" t="n">
        <v>5</v>
      </c>
      <c r="U207" t="inlineStr">
        <is>
          <t>1991-02-28</t>
        </is>
      </c>
      <c r="V207" t="inlineStr">
        <is>
          <t>1991-02-28</t>
        </is>
      </c>
      <c r="W207" t="inlineStr">
        <is>
          <t>1988-01-28</t>
        </is>
      </c>
      <c r="X207" t="inlineStr">
        <is>
          <t>1988-01-28</t>
        </is>
      </c>
      <c r="Y207" t="n">
        <v>930</v>
      </c>
      <c r="Z207" t="n">
        <v>765</v>
      </c>
      <c r="AA207" t="n">
        <v>1022</v>
      </c>
      <c r="AB207" t="n">
        <v>6</v>
      </c>
      <c r="AC207" t="n">
        <v>10</v>
      </c>
      <c r="AD207" t="n">
        <v>31</v>
      </c>
      <c r="AE207" t="n">
        <v>45</v>
      </c>
      <c r="AF207" t="n">
        <v>11</v>
      </c>
      <c r="AG207" t="n">
        <v>19</v>
      </c>
      <c r="AH207" t="n">
        <v>4</v>
      </c>
      <c r="AI207" t="n">
        <v>7</v>
      </c>
      <c r="AJ207" t="n">
        <v>18</v>
      </c>
      <c r="AK207" t="n">
        <v>21</v>
      </c>
      <c r="AL207" t="n">
        <v>5</v>
      </c>
      <c r="AM207" t="n">
        <v>8</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HYPERLINK("https://creighton-primo.hosted.exlibrisgroup.com/primo-explore/search?tab=default_tab&amp;search_scope=EVERYTHING&amp;vid=01CRU&amp;lang=en_US&amp;offset=0&amp;query=any,contains,991000898069702656","Catalog Record")</f>
        <v/>
      </c>
      <c r="AT207">
        <f>HYPERLINK("http://www.worldcat.org/oclc/5310554","WorldCat Record")</f>
        <v/>
      </c>
      <c r="AU207" t="inlineStr">
        <is>
          <t>115608898:eng</t>
        </is>
      </c>
      <c r="AV207" t="inlineStr">
        <is>
          <t>5310554</t>
        </is>
      </c>
      <c r="AW207" t="inlineStr">
        <is>
          <t>991000898069702656</t>
        </is>
      </c>
      <c r="AX207" t="inlineStr">
        <is>
          <t>991000898069702656</t>
        </is>
      </c>
      <c r="AY207" t="inlineStr">
        <is>
          <t>2255528100002656</t>
        </is>
      </c>
      <c r="AZ207" t="inlineStr">
        <is>
          <t>BOOK</t>
        </is>
      </c>
      <c r="BB207" t="inlineStr">
        <is>
          <t>9780716711025</t>
        </is>
      </c>
      <c r="BC207" t="inlineStr">
        <is>
          <t>30001000158560</t>
        </is>
      </c>
      <c r="BD207" t="inlineStr">
        <is>
          <t>893743558</t>
        </is>
      </c>
    </row>
    <row r="208">
      <c r="A208" t="inlineStr">
        <is>
          <t>No</t>
        </is>
      </c>
      <c r="B208" t="inlineStr">
        <is>
          <t>QU 58 K84d 1980 Suppl.</t>
        </is>
      </c>
      <c r="C208" t="inlineStr">
        <is>
          <t>0                      QU 0058000K  84d         1980                                        Suppl.</t>
        </is>
      </c>
      <c r="D208" t="inlineStr">
        <is>
          <t>1982 supplement to DNA replication / Arthur Kornberg.</t>
        </is>
      </c>
      <c r="E208" t="inlineStr">
        <is>
          <t>Suppl.*</t>
        </is>
      </c>
      <c r="F208" t="inlineStr">
        <is>
          <t>No</t>
        </is>
      </c>
      <c r="G208" t="inlineStr">
        <is>
          <t>1</t>
        </is>
      </c>
      <c r="H208" t="inlineStr">
        <is>
          <t>No</t>
        </is>
      </c>
      <c r="I208" t="inlineStr">
        <is>
          <t>No</t>
        </is>
      </c>
      <c r="J208" t="inlineStr">
        <is>
          <t>0</t>
        </is>
      </c>
      <c r="K208" t="inlineStr">
        <is>
          <t>Kornberg, Arthur.</t>
        </is>
      </c>
      <c r="L208" t="inlineStr">
        <is>
          <t>San Francisco : Freeman, c1982.</t>
        </is>
      </c>
      <c r="M208" t="inlineStr">
        <is>
          <t>1982</t>
        </is>
      </c>
      <c r="O208" t="inlineStr">
        <is>
          <t>eng</t>
        </is>
      </c>
      <c r="P208" t="inlineStr">
        <is>
          <t>xxu</t>
        </is>
      </c>
      <c r="R208" t="inlineStr">
        <is>
          <t xml:space="preserve">QU </t>
        </is>
      </c>
      <c r="S208" t="n">
        <v>4</v>
      </c>
      <c r="T208" t="n">
        <v>4</v>
      </c>
      <c r="U208" t="inlineStr">
        <is>
          <t>1991-02-28</t>
        </is>
      </c>
      <c r="V208" t="inlineStr">
        <is>
          <t>1991-02-28</t>
        </is>
      </c>
      <c r="W208" t="inlineStr">
        <is>
          <t>1988-01-28</t>
        </is>
      </c>
      <c r="X208" t="inlineStr">
        <is>
          <t>1988-01-28</t>
        </is>
      </c>
      <c r="Y208" t="n">
        <v>485</v>
      </c>
      <c r="Z208" t="n">
        <v>389</v>
      </c>
      <c r="AA208" t="n">
        <v>394</v>
      </c>
      <c r="AB208" t="n">
        <v>2</v>
      </c>
      <c r="AC208" t="n">
        <v>2</v>
      </c>
      <c r="AD208" t="n">
        <v>11</v>
      </c>
      <c r="AE208" t="n">
        <v>11</v>
      </c>
      <c r="AF208" t="n">
        <v>1</v>
      </c>
      <c r="AG208" t="n">
        <v>1</v>
      </c>
      <c r="AH208" t="n">
        <v>3</v>
      </c>
      <c r="AI208" t="n">
        <v>3</v>
      </c>
      <c r="AJ208" t="n">
        <v>10</v>
      </c>
      <c r="AK208" t="n">
        <v>10</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HYPERLINK("https://creighton-primo.hosted.exlibrisgroup.com/primo-explore/search?tab=default_tab&amp;search_scope=EVERYTHING&amp;vid=01CRU&amp;lang=en_US&amp;offset=0&amp;query=any,contains,991000898099702656","Catalog Record")</f>
        <v/>
      </c>
      <c r="AT208">
        <f>HYPERLINK("http://www.worldcat.org/oclc/8389397","WorldCat Record")</f>
        <v/>
      </c>
      <c r="AU208" t="inlineStr">
        <is>
          <t>3858850414:eng</t>
        </is>
      </c>
      <c r="AV208" t="inlineStr">
        <is>
          <t>8389397</t>
        </is>
      </c>
      <c r="AW208" t="inlineStr">
        <is>
          <t>991000898099702656</t>
        </is>
      </c>
      <c r="AX208" t="inlineStr">
        <is>
          <t>991000898099702656</t>
        </is>
      </c>
      <c r="AY208" t="inlineStr">
        <is>
          <t>2271564630002656</t>
        </is>
      </c>
      <c r="AZ208" t="inlineStr">
        <is>
          <t>BOOK</t>
        </is>
      </c>
      <c r="BB208" t="inlineStr">
        <is>
          <t>9780716714101</t>
        </is>
      </c>
      <c r="BC208" t="inlineStr">
        <is>
          <t>30001000158578</t>
        </is>
      </c>
      <c r="BD208" t="inlineStr">
        <is>
          <t>893551889</t>
        </is>
      </c>
    </row>
    <row r="209">
      <c r="A209" t="inlineStr">
        <is>
          <t>No</t>
        </is>
      </c>
      <c r="B209" t="inlineStr">
        <is>
          <t>QU 58 M7164 1987</t>
        </is>
      </c>
      <c r="C209" t="inlineStr">
        <is>
          <t>0                      QU 0058000M  7164        1987</t>
        </is>
      </c>
      <c r="D209" t="inlineStr">
        <is>
          <t>Molecular biology of RNA : new perspectives / edited by Masayori Inouye and Bernard S. Dudock.</t>
        </is>
      </c>
      <c r="F209" t="inlineStr">
        <is>
          <t>No</t>
        </is>
      </c>
      <c r="G209" t="inlineStr">
        <is>
          <t>1</t>
        </is>
      </c>
      <c r="H209" t="inlineStr">
        <is>
          <t>No</t>
        </is>
      </c>
      <c r="I209" t="inlineStr">
        <is>
          <t>No</t>
        </is>
      </c>
      <c r="J209" t="inlineStr">
        <is>
          <t>0</t>
        </is>
      </c>
      <c r="L209" t="inlineStr">
        <is>
          <t>Orlando : Academic Press, c1987.</t>
        </is>
      </c>
      <c r="M209" t="inlineStr">
        <is>
          <t>1987</t>
        </is>
      </c>
      <c r="O209" t="inlineStr">
        <is>
          <t>eng</t>
        </is>
      </c>
      <c r="P209" t="inlineStr">
        <is>
          <t>xxu</t>
        </is>
      </c>
      <c r="R209" t="inlineStr">
        <is>
          <t xml:space="preserve">QU </t>
        </is>
      </c>
      <c r="S209" t="n">
        <v>7</v>
      </c>
      <c r="T209" t="n">
        <v>7</v>
      </c>
      <c r="U209" t="inlineStr">
        <is>
          <t>2000-09-19</t>
        </is>
      </c>
      <c r="V209" t="inlineStr">
        <is>
          <t>2000-09-19</t>
        </is>
      </c>
      <c r="W209" t="inlineStr">
        <is>
          <t>1988-04-15</t>
        </is>
      </c>
      <c r="X209" t="inlineStr">
        <is>
          <t>1988-04-15</t>
        </is>
      </c>
      <c r="Y209" t="n">
        <v>359</v>
      </c>
      <c r="Z209" t="n">
        <v>262</v>
      </c>
      <c r="AA209" t="n">
        <v>309</v>
      </c>
      <c r="AB209" t="n">
        <v>2</v>
      </c>
      <c r="AC209" t="n">
        <v>2</v>
      </c>
      <c r="AD209" t="n">
        <v>9</v>
      </c>
      <c r="AE209" t="n">
        <v>12</v>
      </c>
      <c r="AF209" t="n">
        <v>1</v>
      </c>
      <c r="AG209" t="n">
        <v>3</v>
      </c>
      <c r="AH209" t="n">
        <v>4</v>
      </c>
      <c r="AI209" t="n">
        <v>6</v>
      </c>
      <c r="AJ209" t="n">
        <v>5</v>
      </c>
      <c r="AK209" t="n">
        <v>5</v>
      </c>
      <c r="AL209" t="n">
        <v>1</v>
      </c>
      <c r="AM209" t="n">
        <v>1</v>
      </c>
      <c r="AN209" t="n">
        <v>0</v>
      </c>
      <c r="AO209" t="n">
        <v>0</v>
      </c>
      <c r="AP209" t="inlineStr">
        <is>
          <t>No</t>
        </is>
      </c>
      <c r="AQ209" t="inlineStr">
        <is>
          <t>Yes</t>
        </is>
      </c>
      <c r="AR209">
        <f>HYPERLINK("http://catalog.hathitrust.org/Record/000843910","HathiTrust Record")</f>
        <v/>
      </c>
      <c r="AS209">
        <f>HYPERLINK("https://creighton-primo.hosted.exlibrisgroup.com/primo-explore/search?tab=default_tab&amp;search_scope=EVERYTHING&amp;vid=01CRU&amp;lang=en_US&amp;offset=0&amp;query=any,contains,991001184919702656","Catalog Record")</f>
        <v/>
      </c>
      <c r="AT209">
        <f>HYPERLINK("http://www.worldcat.org/oclc/15695695","WorldCat Record")</f>
        <v/>
      </c>
      <c r="AU209" t="inlineStr">
        <is>
          <t>889981066:eng</t>
        </is>
      </c>
      <c r="AV209" t="inlineStr">
        <is>
          <t>15695695</t>
        </is>
      </c>
      <c r="AW209" t="inlineStr">
        <is>
          <t>991001184919702656</t>
        </is>
      </c>
      <c r="AX209" t="inlineStr">
        <is>
          <t>991001184919702656</t>
        </is>
      </c>
      <c r="AY209" t="inlineStr">
        <is>
          <t>2256669400002656</t>
        </is>
      </c>
      <c r="AZ209" t="inlineStr">
        <is>
          <t>BOOK</t>
        </is>
      </c>
      <c r="BB209" t="inlineStr">
        <is>
          <t>9780123724830</t>
        </is>
      </c>
      <c r="BC209" t="inlineStr">
        <is>
          <t>30001000977720</t>
        </is>
      </c>
      <c r="BD209" t="inlineStr">
        <is>
          <t>893284536</t>
        </is>
      </c>
    </row>
    <row r="210">
      <c r="A210" t="inlineStr">
        <is>
          <t>No</t>
        </is>
      </c>
      <c r="B210" t="inlineStr">
        <is>
          <t>QU 58 N9638 1989</t>
        </is>
      </c>
      <c r="C210" t="inlineStr">
        <is>
          <t>0                      QU 0058000N  9638        1989</t>
        </is>
      </c>
      <c r="D210" t="inlineStr">
        <is>
          <t>Nucleic acid probes / editor, Robert H. Symons.</t>
        </is>
      </c>
      <c r="F210" t="inlineStr">
        <is>
          <t>No</t>
        </is>
      </c>
      <c r="G210" t="inlineStr">
        <is>
          <t>1</t>
        </is>
      </c>
      <c r="H210" t="inlineStr">
        <is>
          <t>No</t>
        </is>
      </c>
      <c r="I210" t="inlineStr">
        <is>
          <t>No</t>
        </is>
      </c>
      <c r="J210" t="inlineStr">
        <is>
          <t>0</t>
        </is>
      </c>
      <c r="L210" t="inlineStr">
        <is>
          <t>Boca Raton, Fla. : CRC Press, c1989.</t>
        </is>
      </c>
      <c r="M210" t="inlineStr">
        <is>
          <t>1989</t>
        </is>
      </c>
      <c r="O210" t="inlineStr">
        <is>
          <t>eng</t>
        </is>
      </c>
      <c r="P210" t="inlineStr">
        <is>
          <t>xxu</t>
        </is>
      </c>
      <c r="R210" t="inlineStr">
        <is>
          <t xml:space="preserve">QU </t>
        </is>
      </c>
      <c r="S210" t="n">
        <v>5</v>
      </c>
      <c r="T210" t="n">
        <v>5</v>
      </c>
      <c r="U210" t="inlineStr">
        <is>
          <t>1993-09-16</t>
        </is>
      </c>
      <c r="V210" t="inlineStr">
        <is>
          <t>1993-09-16</t>
        </is>
      </c>
      <c r="W210" t="inlineStr">
        <is>
          <t>1989-10-21</t>
        </is>
      </c>
      <c r="X210" t="inlineStr">
        <is>
          <t>1989-10-21</t>
        </is>
      </c>
      <c r="Y210" t="n">
        <v>222</v>
      </c>
      <c r="Z210" t="n">
        <v>168</v>
      </c>
      <c r="AA210" t="n">
        <v>168</v>
      </c>
      <c r="AB210" t="n">
        <v>2</v>
      </c>
      <c r="AC210" t="n">
        <v>2</v>
      </c>
      <c r="AD210" t="n">
        <v>7</v>
      </c>
      <c r="AE210" t="n">
        <v>7</v>
      </c>
      <c r="AF210" t="n">
        <v>2</v>
      </c>
      <c r="AG210" t="n">
        <v>2</v>
      </c>
      <c r="AH210" t="n">
        <v>2</v>
      </c>
      <c r="AI210" t="n">
        <v>2</v>
      </c>
      <c r="AJ210" t="n">
        <v>4</v>
      </c>
      <c r="AK210" t="n">
        <v>4</v>
      </c>
      <c r="AL210" t="n">
        <v>1</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HYPERLINK("https://creighton-primo.hosted.exlibrisgroup.com/primo-explore/search?tab=default_tab&amp;search_scope=EVERYTHING&amp;vid=01CRU&amp;lang=en_US&amp;offset=0&amp;query=any,contains,991001355189702656","Catalog Record")</f>
        <v/>
      </c>
      <c r="AT210">
        <f>HYPERLINK("http://www.worldcat.org/oclc/18049851","WorldCat Record")</f>
        <v/>
      </c>
      <c r="AU210" t="inlineStr">
        <is>
          <t>55098835:eng</t>
        </is>
      </c>
      <c r="AV210" t="inlineStr">
        <is>
          <t>18049851</t>
        </is>
      </c>
      <c r="AW210" t="inlineStr">
        <is>
          <t>991001355189702656</t>
        </is>
      </c>
      <c r="AX210" t="inlineStr">
        <is>
          <t>991001355189702656</t>
        </is>
      </c>
      <c r="AY210" t="inlineStr">
        <is>
          <t>2271880060002656</t>
        </is>
      </c>
      <c r="AZ210" t="inlineStr">
        <is>
          <t>BOOK</t>
        </is>
      </c>
      <c r="BB210" t="inlineStr">
        <is>
          <t>9780849349423</t>
        </is>
      </c>
      <c r="BC210" t="inlineStr">
        <is>
          <t>30001001795824</t>
        </is>
      </c>
      <c r="BD210" t="inlineStr">
        <is>
          <t>893736515</t>
        </is>
      </c>
    </row>
    <row r="211">
      <c r="A211" t="inlineStr">
        <is>
          <t>No</t>
        </is>
      </c>
      <c r="B211" t="inlineStr">
        <is>
          <t>QU 58 O465 1989</t>
        </is>
      </c>
      <c r="C211" t="inlineStr">
        <is>
          <t>0                      QU 0058000O  465         1989</t>
        </is>
      </c>
      <c r="D211" t="inlineStr">
        <is>
          <t>Oligonucleotides : antisense inhibitors of gene expression / edited by Jack S. Cohen.</t>
        </is>
      </c>
      <c r="F211" t="inlineStr">
        <is>
          <t>No</t>
        </is>
      </c>
      <c r="G211" t="inlineStr">
        <is>
          <t>1</t>
        </is>
      </c>
      <c r="H211" t="inlineStr">
        <is>
          <t>No</t>
        </is>
      </c>
      <c r="I211" t="inlineStr">
        <is>
          <t>No</t>
        </is>
      </c>
      <c r="J211" t="inlineStr">
        <is>
          <t>0</t>
        </is>
      </c>
      <c r="L211" t="inlineStr">
        <is>
          <t>Boca Raton, Fla. : CRC Press, c1989.</t>
        </is>
      </c>
      <c r="M211" t="inlineStr">
        <is>
          <t>1989</t>
        </is>
      </c>
      <c r="O211" t="inlineStr">
        <is>
          <t>eng</t>
        </is>
      </c>
      <c r="P211" t="inlineStr">
        <is>
          <t>xxu</t>
        </is>
      </c>
      <c r="Q211" t="inlineStr">
        <is>
          <t>Topics in molecular and structural biology</t>
        </is>
      </c>
      <c r="R211" t="inlineStr">
        <is>
          <t xml:space="preserve">QU </t>
        </is>
      </c>
      <c r="S211" t="n">
        <v>8</v>
      </c>
      <c r="T211" t="n">
        <v>8</v>
      </c>
      <c r="U211" t="inlineStr">
        <is>
          <t>1995-05-17</t>
        </is>
      </c>
      <c r="V211" t="inlineStr">
        <is>
          <t>1995-05-17</t>
        </is>
      </c>
      <c r="W211" t="inlineStr">
        <is>
          <t>1989-12-04</t>
        </is>
      </c>
      <c r="X211" t="inlineStr">
        <is>
          <t>1989-12-04</t>
        </is>
      </c>
      <c r="Y211" t="n">
        <v>169</v>
      </c>
      <c r="Z211" t="n">
        <v>151</v>
      </c>
      <c r="AA211" t="n">
        <v>177</v>
      </c>
      <c r="AB211" t="n">
        <v>2</v>
      </c>
      <c r="AC211" t="n">
        <v>2</v>
      </c>
      <c r="AD211" t="n">
        <v>7</v>
      </c>
      <c r="AE211" t="n">
        <v>7</v>
      </c>
      <c r="AF211" t="n">
        <v>0</v>
      </c>
      <c r="AG211" t="n">
        <v>0</v>
      </c>
      <c r="AH211" t="n">
        <v>3</v>
      </c>
      <c r="AI211" t="n">
        <v>3</v>
      </c>
      <c r="AJ211" t="n">
        <v>5</v>
      </c>
      <c r="AK211" t="n">
        <v>5</v>
      </c>
      <c r="AL211" t="n">
        <v>1</v>
      </c>
      <c r="AM211" t="n">
        <v>1</v>
      </c>
      <c r="AN211" t="n">
        <v>0</v>
      </c>
      <c r="AO211" t="n">
        <v>0</v>
      </c>
      <c r="AP211" t="inlineStr">
        <is>
          <t>No</t>
        </is>
      </c>
      <c r="AQ211" t="inlineStr">
        <is>
          <t>Yes</t>
        </is>
      </c>
      <c r="AR211">
        <f>HYPERLINK("http://catalog.hathitrust.org/Record/001955365","HathiTrust Record")</f>
        <v/>
      </c>
      <c r="AS211">
        <f>HYPERLINK("https://creighton-primo.hosted.exlibrisgroup.com/primo-explore/search?tab=default_tab&amp;search_scope=EVERYTHING&amp;vid=01CRU&amp;lang=en_US&amp;offset=0&amp;query=any,contains,991001363549702656","Catalog Record")</f>
        <v/>
      </c>
      <c r="AT211">
        <f>HYPERLINK("http://www.worldcat.org/oclc/19777134","WorldCat Record")</f>
        <v/>
      </c>
      <c r="AU211" t="inlineStr">
        <is>
          <t>495507967:eng</t>
        </is>
      </c>
      <c r="AV211" t="inlineStr">
        <is>
          <t>19777134</t>
        </is>
      </c>
      <c r="AW211" t="inlineStr">
        <is>
          <t>991001363549702656</t>
        </is>
      </c>
      <c r="AX211" t="inlineStr">
        <is>
          <t>991001363549702656</t>
        </is>
      </c>
      <c r="AY211" t="inlineStr">
        <is>
          <t>2267920070002656</t>
        </is>
      </c>
      <c r="AZ211" t="inlineStr">
        <is>
          <t>BOOK</t>
        </is>
      </c>
      <c r="BB211" t="inlineStr">
        <is>
          <t>9780849371189</t>
        </is>
      </c>
      <c r="BC211" t="inlineStr">
        <is>
          <t>30001001797069</t>
        </is>
      </c>
      <c r="BD211" t="inlineStr">
        <is>
          <t>893736521</t>
        </is>
      </c>
    </row>
    <row r="212">
      <c r="A212" t="inlineStr">
        <is>
          <t>No</t>
        </is>
      </c>
      <c r="B212" t="inlineStr">
        <is>
          <t>QU 58 R111 1994</t>
        </is>
      </c>
      <c r="C212" t="inlineStr">
        <is>
          <t>0                      QU 0058000R  111         1994</t>
        </is>
      </c>
      <c r="D212" t="inlineStr">
        <is>
          <t>RNA processing : a practical approach / edited by Stephen J. Higgins and B. David Hames.</t>
        </is>
      </c>
      <c r="E212" t="inlineStr">
        <is>
          <t>V. 1</t>
        </is>
      </c>
      <c r="F212" t="inlineStr">
        <is>
          <t>Yes</t>
        </is>
      </c>
      <c r="G212" t="inlineStr">
        <is>
          <t>1</t>
        </is>
      </c>
      <c r="H212" t="inlineStr">
        <is>
          <t>No</t>
        </is>
      </c>
      <c r="I212" t="inlineStr">
        <is>
          <t>No</t>
        </is>
      </c>
      <c r="J212" t="inlineStr">
        <is>
          <t>0</t>
        </is>
      </c>
      <c r="L212" t="inlineStr">
        <is>
          <t>Oxford ; New York : IRL Press at Oxford University Press, c1994.</t>
        </is>
      </c>
      <c r="M212" t="inlineStr">
        <is>
          <t>1994</t>
        </is>
      </c>
      <c r="O212" t="inlineStr">
        <is>
          <t>eng</t>
        </is>
      </c>
      <c r="P212" t="inlineStr">
        <is>
          <t>enk</t>
        </is>
      </c>
      <c r="Q212" t="inlineStr">
        <is>
          <t>The practical approach series ; 135, 136</t>
        </is>
      </c>
      <c r="R212" t="inlineStr">
        <is>
          <t xml:space="preserve">QU </t>
        </is>
      </c>
      <c r="S212" t="n">
        <v>14</v>
      </c>
      <c r="T212" t="n">
        <v>23</v>
      </c>
      <c r="U212" t="inlineStr">
        <is>
          <t>2005-12-27</t>
        </is>
      </c>
      <c r="V212" t="inlineStr">
        <is>
          <t>2005-12-27</t>
        </is>
      </c>
      <c r="W212" t="inlineStr">
        <is>
          <t>1994-09-12</t>
        </is>
      </c>
      <c r="X212" t="inlineStr">
        <is>
          <t>1994-09-12</t>
        </is>
      </c>
      <c r="Y212" t="n">
        <v>209</v>
      </c>
      <c r="Z212" t="n">
        <v>137</v>
      </c>
      <c r="AA212" t="n">
        <v>139</v>
      </c>
      <c r="AB212" t="n">
        <v>1</v>
      </c>
      <c r="AC212" t="n">
        <v>1</v>
      </c>
      <c r="AD212" t="n">
        <v>3</v>
      </c>
      <c r="AE212" t="n">
        <v>3</v>
      </c>
      <c r="AF212" t="n">
        <v>0</v>
      </c>
      <c r="AG212" t="n">
        <v>0</v>
      </c>
      <c r="AH212" t="n">
        <v>1</v>
      </c>
      <c r="AI212" t="n">
        <v>1</v>
      </c>
      <c r="AJ212" t="n">
        <v>3</v>
      </c>
      <c r="AK212" t="n">
        <v>3</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HYPERLINK("https://creighton-primo.hosted.exlibrisgroup.com/primo-explore/search?tab=default_tab&amp;search_scope=EVERYTHING&amp;vid=01CRU&amp;lang=en_US&amp;offset=0&amp;query=any,contains,991000678109702656","Catalog Record")</f>
        <v/>
      </c>
      <c r="AT212">
        <f>HYPERLINK("http://www.worldcat.org/oclc/28337231","WorldCat Record")</f>
        <v/>
      </c>
      <c r="AU212" t="inlineStr">
        <is>
          <t>798920376:eng</t>
        </is>
      </c>
      <c r="AV212" t="inlineStr">
        <is>
          <t>28337231</t>
        </is>
      </c>
      <c r="AW212" t="inlineStr">
        <is>
          <t>991000678109702656</t>
        </is>
      </c>
      <c r="AX212" t="inlineStr">
        <is>
          <t>991000678109702656</t>
        </is>
      </c>
      <c r="AY212" t="inlineStr">
        <is>
          <t>2258447720002656</t>
        </is>
      </c>
      <c r="AZ212" t="inlineStr">
        <is>
          <t>BOOK</t>
        </is>
      </c>
      <c r="BB212" t="inlineStr">
        <is>
          <t>9780199633432</t>
        </is>
      </c>
      <c r="BC212" t="inlineStr">
        <is>
          <t>30001002696864</t>
        </is>
      </c>
      <c r="BD212" t="inlineStr">
        <is>
          <t>893739969</t>
        </is>
      </c>
    </row>
    <row r="213">
      <c r="A213" t="inlineStr">
        <is>
          <t>No</t>
        </is>
      </c>
      <c r="B213" t="inlineStr">
        <is>
          <t>QU 58 R111 1994</t>
        </is>
      </c>
      <c r="C213" t="inlineStr">
        <is>
          <t>0                      QU 0058000R  111         1994</t>
        </is>
      </c>
      <c r="D213" t="inlineStr">
        <is>
          <t>RNA processing : a practical approach / edited by Stephen J. Higgins and B. David Hames.</t>
        </is>
      </c>
      <c r="E213" t="inlineStr">
        <is>
          <t>V. 2</t>
        </is>
      </c>
      <c r="F213" t="inlineStr">
        <is>
          <t>Yes</t>
        </is>
      </c>
      <c r="G213" t="inlineStr">
        <is>
          <t>1</t>
        </is>
      </c>
      <c r="H213" t="inlineStr">
        <is>
          <t>No</t>
        </is>
      </c>
      <c r="I213" t="inlineStr">
        <is>
          <t>No</t>
        </is>
      </c>
      <c r="J213" t="inlineStr">
        <is>
          <t>0</t>
        </is>
      </c>
      <c r="L213" t="inlineStr">
        <is>
          <t>Oxford ; New York : IRL Press at Oxford University Press, c1994.</t>
        </is>
      </c>
      <c r="M213" t="inlineStr">
        <is>
          <t>1994</t>
        </is>
      </c>
      <c r="O213" t="inlineStr">
        <is>
          <t>eng</t>
        </is>
      </c>
      <c r="P213" t="inlineStr">
        <is>
          <t>enk</t>
        </is>
      </c>
      <c r="Q213" t="inlineStr">
        <is>
          <t>The practical approach series ; 135, 136</t>
        </is>
      </c>
      <c r="R213" t="inlineStr">
        <is>
          <t xml:space="preserve">QU </t>
        </is>
      </c>
      <c r="S213" t="n">
        <v>9</v>
      </c>
      <c r="T213" t="n">
        <v>23</v>
      </c>
      <c r="U213" t="inlineStr">
        <is>
          <t>2005-12-27</t>
        </is>
      </c>
      <c r="V213" t="inlineStr">
        <is>
          <t>2005-12-27</t>
        </is>
      </c>
      <c r="W213" t="inlineStr">
        <is>
          <t>1994-09-12</t>
        </is>
      </c>
      <c r="X213" t="inlineStr">
        <is>
          <t>1994-09-12</t>
        </is>
      </c>
      <c r="Y213" t="n">
        <v>209</v>
      </c>
      <c r="Z213" t="n">
        <v>137</v>
      </c>
      <c r="AA213" t="n">
        <v>139</v>
      </c>
      <c r="AB213" t="n">
        <v>1</v>
      </c>
      <c r="AC213" t="n">
        <v>1</v>
      </c>
      <c r="AD213" t="n">
        <v>3</v>
      </c>
      <c r="AE213" t="n">
        <v>3</v>
      </c>
      <c r="AF213" t="n">
        <v>0</v>
      </c>
      <c r="AG213" t="n">
        <v>0</v>
      </c>
      <c r="AH213" t="n">
        <v>1</v>
      </c>
      <c r="AI213" t="n">
        <v>1</v>
      </c>
      <c r="AJ213" t="n">
        <v>3</v>
      </c>
      <c r="AK213" t="n">
        <v>3</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HYPERLINK("https://creighton-primo.hosted.exlibrisgroup.com/primo-explore/search?tab=default_tab&amp;search_scope=EVERYTHING&amp;vid=01CRU&amp;lang=en_US&amp;offset=0&amp;query=any,contains,991000678109702656","Catalog Record")</f>
        <v/>
      </c>
      <c r="AT213">
        <f>HYPERLINK("http://www.worldcat.org/oclc/28337231","WorldCat Record")</f>
        <v/>
      </c>
      <c r="AU213" t="inlineStr">
        <is>
          <t>798920376:eng</t>
        </is>
      </c>
      <c r="AV213" t="inlineStr">
        <is>
          <t>28337231</t>
        </is>
      </c>
      <c r="AW213" t="inlineStr">
        <is>
          <t>991000678109702656</t>
        </is>
      </c>
      <c r="AX213" t="inlineStr">
        <is>
          <t>991000678109702656</t>
        </is>
      </c>
      <c r="AY213" t="inlineStr">
        <is>
          <t>2258447720002656</t>
        </is>
      </c>
      <c r="AZ213" t="inlineStr">
        <is>
          <t>BOOK</t>
        </is>
      </c>
      <c r="BB213" t="inlineStr">
        <is>
          <t>9780199633432</t>
        </is>
      </c>
      <c r="BC213" t="inlineStr">
        <is>
          <t>30001002696872</t>
        </is>
      </c>
      <c r="BD213" t="inlineStr">
        <is>
          <t>893726485</t>
        </is>
      </c>
    </row>
    <row r="214">
      <c r="A214" t="inlineStr">
        <is>
          <t>No</t>
        </is>
      </c>
      <c r="B214" t="inlineStr">
        <is>
          <t>QU 58 W339d 1968</t>
        </is>
      </c>
      <c r="C214" t="inlineStr">
        <is>
          <t>0                      QU 0058000W  339d        1968</t>
        </is>
      </c>
      <c r="D214" t="inlineStr">
        <is>
          <t>The double helix :b a personal account of the discovery of the structure of DNA / by James D. Watson.</t>
        </is>
      </c>
      <c r="F214" t="inlineStr">
        <is>
          <t>No</t>
        </is>
      </c>
      <c r="G214" t="inlineStr">
        <is>
          <t>1</t>
        </is>
      </c>
      <c r="H214" t="inlineStr">
        <is>
          <t>No</t>
        </is>
      </c>
      <c r="I214" t="inlineStr">
        <is>
          <t>Yes</t>
        </is>
      </c>
      <c r="J214" t="inlineStr">
        <is>
          <t>0</t>
        </is>
      </c>
      <c r="K214" t="inlineStr">
        <is>
          <t>Watson, James D., 1928-</t>
        </is>
      </c>
      <c r="L214" t="inlineStr">
        <is>
          <t>New York : Atheneum, 1968.</t>
        </is>
      </c>
      <c r="M214" t="inlineStr">
        <is>
          <t>1968</t>
        </is>
      </c>
      <c r="N214" t="inlineStr">
        <is>
          <t>[1st ed.]</t>
        </is>
      </c>
      <c r="O214" t="inlineStr">
        <is>
          <t>eng</t>
        </is>
      </c>
      <c r="P214" t="inlineStr">
        <is>
          <t>nyu</t>
        </is>
      </c>
      <c r="R214" t="inlineStr">
        <is>
          <t xml:space="preserve">QU </t>
        </is>
      </c>
      <c r="S214" t="n">
        <v>10</v>
      </c>
      <c r="T214" t="n">
        <v>10</v>
      </c>
      <c r="U214" t="inlineStr">
        <is>
          <t>1996-10-02</t>
        </is>
      </c>
      <c r="V214" t="inlineStr">
        <is>
          <t>1996-10-02</t>
        </is>
      </c>
      <c r="W214" t="inlineStr">
        <is>
          <t>1987-12-30</t>
        </is>
      </c>
      <c r="X214" t="inlineStr">
        <is>
          <t>1987-12-30</t>
        </is>
      </c>
      <c r="Y214" t="n">
        <v>2190</v>
      </c>
      <c r="Z214" t="n">
        <v>2056</v>
      </c>
      <c r="AA214" t="n">
        <v>3457</v>
      </c>
      <c r="AB214" t="n">
        <v>14</v>
      </c>
      <c r="AC214" t="n">
        <v>27</v>
      </c>
      <c r="AD214" t="n">
        <v>51</v>
      </c>
      <c r="AE214" t="n">
        <v>70</v>
      </c>
      <c r="AF214" t="n">
        <v>22</v>
      </c>
      <c r="AG214" t="n">
        <v>29</v>
      </c>
      <c r="AH214" t="n">
        <v>9</v>
      </c>
      <c r="AI214" t="n">
        <v>11</v>
      </c>
      <c r="AJ214" t="n">
        <v>25</v>
      </c>
      <c r="AK214" t="n">
        <v>28</v>
      </c>
      <c r="AL214" t="n">
        <v>8</v>
      </c>
      <c r="AM214" t="n">
        <v>16</v>
      </c>
      <c r="AN214" t="n">
        <v>0</v>
      </c>
      <c r="AO214" t="n">
        <v>0</v>
      </c>
      <c r="AP214" t="inlineStr">
        <is>
          <t>No</t>
        </is>
      </c>
      <c r="AQ214" t="inlineStr">
        <is>
          <t>Yes</t>
        </is>
      </c>
      <c r="AR214">
        <f>HYPERLINK("http://catalog.hathitrust.org/Record/001112713","HathiTrust Record")</f>
        <v/>
      </c>
      <c r="AS214">
        <f>HYPERLINK("https://creighton-primo.hosted.exlibrisgroup.com/primo-explore/search?tab=default_tab&amp;search_scope=EVERYTHING&amp;vid=01CRU&amp;lang=en_US&amp;offset=0&amp;query=any,contains,991000898009702656","Catalog Record")</f>
        <v/>
      </c>
      <c r="AT214">
        <f>HYPERLINK("http://www.worldcat.org/oclc/439345","WorldCat Record")</f>
        <v/>
      </c>
      <c r="AU214" t="inlineStr">
        <is>
          <t>439031:eng</t>
        </is>
      </c>
      <c r="AV214" t="inlineStr">
        <is>
          <t>439345</t>
        </is>
      </c>
      <c r="AW214" t="inlineStr">
        <is>
          <t>991000898009702656</t>
        </is>
      </c>
      <c r="AX214" t="inlineStr">
        <is>
          <t>991000898009702656</t>
        </is>
      </c>
      <c r="AY214" t="inlineStr">
        <is>
          <t>2266569420002656</t>
        </is>
      </c>
      <c r="AZ214" t="inlineStr">
        <is>
          <t>BOOK</t>
        </is>
      </c>
      <c r="BC214" t="inlineStr">
        <is>
          <t>30001000158446</t>
        </is>
      </c>
      <c r="BD214" t="inlineStr">
        <is>
          <t>893267703</t>
        </is>
      </c>
    </row>
    <row r="215">
      <c r="A215" t="inlineStr">
        <is>
          <t>No</t>
        </is>
      </c>
      <c r="B215" t="inlineStr">
        <is>
          <t>QU 58 W339r 1983</t>
        </is>
      </c>
      <c r="C215" t="inlineStr">
        <is>
          <t>0                      QU 0058000W  339r        1983</t>
        </is>
      </c>
      <c r="D215" t="inlineStr">
        <is>
          <t>Recombinant DNA, a short course / James D. Watson, John Tooze, David T. Kurtz.</t>
        </is>
      </c>
      <c r="F215" t="inlineStr">
        <is>
          <t>No</t>
        </is>
      </c>
      <c r="G215" t="inlineStr">
        <is>
          <t>1</t>
        </is>
      </c>
      <c r="H215" t="inlineStr">
        <is>
          <t>No</t>
        </is>
      </c>
      <c r="I215" t="inlineStr">
        <is>
          <t>No</t>
        </is>
      </c>
      <c r="J215" t="inlineStr">
        <is>
          <t>0</t>
        </is>
      </c>
      <c r="K215" t="inlineStr">
        <is>
          <t>Watson, James D., 1928-</t>
        </is>
      </c>
      <c r="L215" t="inlineStr">
        <is>
          <t>New York : Scientific American Books ; Distributed by W.H. Freeman, c1983.</t>
        </is>
      </c>
      <c r="M215" t="inlineStr">
        <is>
          <t>1983</t>
        </is>
      </c>
      <c r="O215" t="inlineStr">
        <is>
          <t>eng</t>
        </is>
      </c>
      <c r="P215" t="inlineStr">
        <is>
          <t>xxu</t>
        </is>
      </c>
      <c r="R215" t="inlineStr">
        <is>
          <t xml:space="preserve">QU </t>
        </is>
      </c>
      <c r="S215" t="n">
        <v>4</v>
      </c>
      <c r="T215" t="n">
        <v>4</v>
      </c>
      <c r="U215" t="inlineStr">
        <is>
          <t>2000-02-03</t>
        </is>
      </c>
      <c r="V215" t="inlineStr">
        <is>
          <t>2000-02-03</t>
        </is>
      </c>
      <c r="W215" t="inlineStr">
        <is>
          <t>1991-05-23</t>
        </is>
      </c>
      <c r="X215" t="inlineStr">
        <is>
          <t>1991-05-23</t>
        </is>
      </c>
      <c r="Y215" t="n">
        <v>1139</v>
      </c>
      <c r="Z215" t="n">
        <v>871</v>
      </c>
      <c r="AA215" t="n">
        <v>871</v>
      </c>
      <c r="AB215" t="n">
        <v>7</v>
      </c>
      <c r="AC215" t="n">
        <v>7</v>
      </c>
      <c r="AD215" t="n">
        <v>28</v>
      </c>
      <c r="AE215" t="n">
        <v>28</v>
      </c>
      <c r="AF215" t="n">
        <v>10</v>
      </c>
      <c r="AG215" t="n">
        <v>10</v>
      </c>
      <c r="AH215" t="n">
        <v>7</v>
      </c>
      <c r="AI215" t="n">
        <v>7</v>
      </c>
      <c r="AJ215" t="n">
        <v>12</v>
      </c>
      <c r="AK215" t="n">
        <v>12</v>
      </c>
      <c r="AL215" t="n">
        <v>4</v>
      </c>
      <c r="AM215" t="n">
        <v>4</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HYPERLINK("https://creighton-primo.hosted.exlibrisgroup.com/primo-explore/search?tab=default_tab&amp;search_scope=EVERYTHING&amp;vid=01CRU&amp;lang=en_US&amp;offset=0&amp;query=any,contains,991000897969702656","Catalog Record")</f>
        <v/>
      </c>
      <c r="AT215">
        <f>HYPERLINK("http://www.worldcat.org/oclc/9532831","WorldCat Record")</f>
        <v/>
      </c>
      <c r="AU215" t="inlineStr">
        <is>
          <t>57026717:eng</t>
        </is>
      </c>
      <c r="AV215" t="inlineStr">
        <is>
          <t>9532831</t>
        </is>
      </c>
      <c r="AW215" t="inlineStr">
        <is>
          <t>991000897969702656</t>
        </is>
      </c>
      <c r="AX215" t="inlineStr">
        <is>
          <t>991000897969702656</t>
        </is>
      </c>
      <c r="AY215" t="inlineStr">
        <is>
          <t>2259124220002656</t>
        </is>
      </c>
      <c r="AZ215" t="inlineStr">
        <is>
          <t>BOOK</t>
        </is>
      </c>
      <c r="BB215" t="inlineStr">
        <is>
          <t>9780716714835</t>
        </is>
      </c>
      <c r="BC215" t="inlineStr">
        <is>
          <t>30001000158412</t>
        </is>
      </c>
      <c r="BD215" t="inlineStr">
        <is>
          <t>893284005</t>
        </is>
      </c>
    </row>
    <row r="216">
      <c r="A216" t="inlineStr">
        <is>
          <t>No</t>
        </is>
      </c>
      <c r="B216" t="inlineStr">
        <is>
          <t>QU58.5 D418c 2005</t>
        </is>
      </c>
      <c r="C216" t="inlineStr">
        <is>
          <t>0                      QU 0058500D  418c        2005</t>
        </is>
      </c>
      <c r="D216" t="inlineStr">
        <is>
          <t>Computational genome analysis : an introduction / Richard C. Deonier, Simon Tavaré, Michael S. Waterman.</t>
        </is>
      </c>
      <c r="F216" t="inlineStr">
        <is>
          <t>No</t>
        </is>
      </c>
      <c r="G216" t="inlineStr">
        <is>
          <t>1</t>
        </is>
      </c>
      <c r="H216" t="inlineStr">
        <is>
          <t>No</t>
        </is>
      </c>
      <c r="I216" t="inlineStr">
        <is>
          <t>No</t>
        </is>
      </c>
      <c r="J216" t="inlineStr">
        <is>
          <t>1</t>
        </is>
      </c>
      <c r="K216" t="inlineStr">
        <is>
          <t>Deonier, Richard C., 1942-</t>
        </is>
      </c>
      <c r="L216" t="inlineStr">
        <is>
          <t>New York : Springer, 2005.</t>
        </is>
      </c>
      <c r="M216" t="inlineStr">
        <is>
          <t>2005</t>
        </is>
      </c>
      <c r="O216" t="inlineStr">
        <is>
          <t>eng</t>
        </is>
      </c>
      <c r="P216" t="inlineStr">
        <is>
          <t>nyu</t>
        </is>
      </c>
      <c r="R216" t="inlineStr">
        <is>
          <t xml:space="preserve">QU </t>
        </is>
      </c>
      <c r="S216" t="n">
        <v>5</v>
      </c>
      <c r="T216" t="n">
        <v>5</v>
      </c>
      <c r="U216" t="inlineStr">
        <is>
          <t>2007-05-07</t>
        </is>
      </c>
      <c r="V216" t="inlineStr">
        <is>
          <t>2007-05-07</t>
        </is>
      </c>
      <c r="W216" t="inlineStr">
        <is>
          <t>2007-01-25</t>
        </is>
      </c>
      <c r="X216" t="inlineStr">
        <is>
          <t>2007-01-25</t>
        </is>
      </c>
      <c r="Y216" t="n">
        <v>290</v>
      </c>
      <c r="Z216" t="n">
        <v>193</v>
      </c>
      <c r="AA216" t="n">
        <v>382</v>
      </c>
      <c r="AB216" t="n">
        <v>3</v>
      </c>
      <c r="AC216" t="n">
        <v>4</v>
      </c>
      <c r="AD216" t="n">
        <v>10</v>
      </c>
      <c r="AE216" t="n">
        <v>15</v>
      </c>
      <c r="AF216" t="n">
        <v>1</v>
      </c>
      <c r="AG216" t="n">
        <v>3</v>
      </c>
      <c r="AH216" t="n">
        <v>4</v>
      </c>
      <c r="AI216" t="n">
        <v>6</v>
      </c>
      <c r="AJ216" t="n">
        <v>5</v>
      </c>
      <c r="AK216" t="n">
        <v>10</v>
      </c>
      <c r="AL216" t="n">
        <v>2</v>
      </c>
      <c r="AM216" t="n">
        <v>2</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HYPERLINK("https://creighton-primo.hosted.exlibrisgroup.com/primo-explore/search?tab=default_tab&amp;search_scope=EVERYTHING&amp;vid=01CRU&amp;lang=en_US&amp;offset=0&amp;query=any,contains,991000587299702656","Catalog Record")</f>
        <v/>
      </c>
      <c r="AT216">
        <f>HYPERLINK("http://www.worldcat.org/oclc/56880311","WorldCat Record")</f>
        <v/>
      </c>
      <c r="AU216" t="inlineStr">
        <is>
          <t>864040592:eng</t>
        </is>
      </c>
      <c r="AV216" t="inlineStr">
        <is>
          <t>56880311</t>
        </is>
      </c>
      <c r="AW216" t="inlineStr">
        <is>
          <t>991000587299702656</t>
        </is>
      </c>
      <c r="AX216" t="inlineStr">
        <is>
          <t>991000587299702656</t>
        </is>
      </c>
      <c r="AY216" t="inlineStr">
        <is>
          <t>2261962930002656</t>
        </is>
      </c>
      <c r="AZ216" t="inlineStr">
        <is>
          <t>BOOK</t>
        </is>
      </c>
      <c r="BB216" t="inlineStr">
        <is>
          <t>9780387987859</t>
        </is>
      </c>
      <c r="BC216" t="inlineStr">
        <is>
          <t>30001005212776</t>
        </is>
      </c>
      <c r="BD216" t="inlineStr">
        <is>
          <t>893730474</t>
        </is>
      </c>
    </row>
    <row r="217">
      <c r="A217" t="inlineStr">
        <is>
          <t>No</t>
        </is>
      </c>
      <c r="B217" t="inlineStr">
        <is>
          <t>QU58.5 G3355 2004</t>
        </is>
      </c>
      <c r="C217" t="inlineStr">
        <is>
          <t>0                      QU 0058500G  3355        2004</t>
        </is>
      </c>
      <c r="D217" t="inlineStr">
        <is>
          <t>Genomics, proteomics, and clinical bacteriology : methods and reviews / edited by Neil Woodford and Alan Johnson.</t>
        </is>
      </c>
      <c r="F217" t="inlineStr">
        <is>
          <t>No</t>
        </is>
      </c>
      <c r="G217" t="inlineStr">
        <is>
          <t>1</t>
        </is>
      </c>
      <c r="H217" t="inlineStr">
        <is>
          <t>No</t>
        </is>
      </c>
      <c r="I217" t="inlineStr">
        <is>
          <t>No</t>
        </is>
      </c>
      <c r="J217" t="inlineStr">
        <is>
          <t>0</t>
        </is>
      </c>
      <c r="L217" t="inlineStr">
        <is>
          <t>Totowa, N.J. : Humana Press, c2004.</t>
        </is>
      </c>
      <c r="M217" t="inlineStr">
        <is>
          <t>2004</t>
        </is>
      </c>
      <c r="O217" t="inlineStr">
        <is>
          <t>eng</t>
        </is>
      </c>
      <c r="P217" t="inlineStr">
        <is>
          <t>nju</t>
        </is>
      </c>
      <c r="Q217" t="inlineStr">
        <is>
          <t>Methods in molecular biology ; 266</t>
        </is>
      </c>
      <c r="R217" t="inlineStr">
        <is>
          <t xml:space="preserve">QU </t>
        </is>
      </c>
      <c r="S217" t="n">
        <v>1</v>
      </c>
      <c r="T217" t="n">
        <v>1</v>
      </c>
      <c r="U217" t="inlineStr">
        <is>
          <t>2004-11-02</t>
        </is>
      </c>
      <c r="V217" t="inlineStr">
        <is>
          <t>2004-11-02</t>
        </is>
      </c>
      <c r="W217" t="inlineStr">
        <is>
          <t>2004-11-01</t>
        </is>
      </c>
      <c r="X217" t="inlineStr">
        <is>
          <t>2004-11-01</t>
        </is>
      </c>
      <c r="Y217" t="n">
        <v>205</v>
      </c>
      <c r="Z217" t="n">
        <v>132</v>
      </c>
      <c r="AA217" t="n">
        <v>207</v>
      </c>
      <c r="AB217" t="n">
        <v>1</v>
      </c>
      <c r="AC217" t="n">
        <v>3</v>
      </c>
      <c r="AD217" t="n">
        <v>5</v>
      </c>
      <c r="AE217" t="n">
        <v>9</v>
      </c>
      <c r="AF217" t="n">
        <v>1</v>
      </c>
      <c r="AG217" t="n">
        <v>2</v>
      </c>
      <c r="AH217" t="n">
        <v>4</v>
      </c>
      <c r="AI217" t="n">
        <v>5</v>
      </c>
      <c r="AJ217" t="n">
        <v>2</v>
      </c>
      <c r="AK217" t="n">
        <v>3</v>
      </c>
      <c r="AL217" t="n">
        <v>0</v>
      </c>
      <c r="AM217" t="n">
        <v>2</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HYPERLINK("https://creighton-primo.hosted.exlibrisgroup.com/primo-explore/search?tab=default_tab&amp;search_scope=EVERYTHING&amp;vid=01CRU&amp;lang=en_US&amp;offset=0&amp;query=any,contains,991000406279702656","Catalog Record")</f>
        <v/>
      </c>
      <c r="AT217">
        <f>HYPERLINK("http://www.worldcat.org/oclc/54034861","WorldCat Record")</f>
        <v/>
      </c>
      <c r="AU217" t="inlineStr">
        <is>
          <t>1034433840:eng</t>
        </is>
      </c>
      <c r="AV217" t="inlineStr">
        <is>
          <t>54034861</t>
        </is>
      </c>
      <c r="AW217" t="inlineStr">
        <is>
          <t>991000406279702656</t>
        </is>
      </c>
      <c r="AX217" t="inlineStr">
        <is>
          <t>991000406279702656</t>
        </is>
      </c>
      <c r="AY217" t="inlineStr">
        <is>
          <t>2257384880002656</t>
        </is>
      </c>
      <c r="AZ217" t="inlineStr">
        <is>
          <t>BOOK</t>
        </is>
      </c>
      <c r="BB217" t="inlineStr">
        <is>
          <t>9781588292186</t>
        </is>
      </c>
      <c r="BC217" t="inlineStr">
        <is>
          <t>30001004924488</t>
        </is>
      </c>
      <c r="BD217" t="inlineStr">
        <is>
          <t>893547800</t>
        </is>
      </c>
    </row>
    <row r="218">
      <c r="A218" t="inlineStr">
        <is>
          <t>No</t>
        </is>
      </c>
      <c r="B218" t="inlineStr">
        <is>
          <t>QU 58.5 W9255g 2007</t>
        </is>
      </c>
      <c r="C218" t="inlineStr">
        <is>
          <t>0                      QU 0058500W  9255g       2007</t>
        </is>
      </c>
      <c r="D218" t="inlineStr">
        <is>
          <t>Genomic approaches for cross-species extrapolation in toxicology : proceedings from the Workshop on Emerging Molecular and Computational Approaches for Cross-Species Extrapolations, 18-22 July 2004, Portland, Oregon, USA / edited by William H. Benson and Richard T. Di Giulio.</t>
        </is>
      </c>
      <c r="F218" t="inlineStr">
        <is>
          <t>No</t>
        </is>
      </c>
      <c r="G218" t="inlineStr">
        <is>
          <t>1</t>
        </is>
      </c>
      <c r="H218" t="inlineStr">
        <is>
          <t>No</t>
        </is>
      </c>
      <c r="I218" t="inlineStr">
        <is>
          <t>No</t>
        </is>
      </c>
      <c r="J218" t="inlineStr">
        <is>
          <t>0</t>
        </is>
      </c>
      <c r="K218" t="inlineStr">
        <is>
          <t>Workshop on Emerging Molecular and Computational Approaches for Cross-Species Extrapolations (2004 : Portland, Or.)</t>
        </is>
      </c>
      <c r="L218" t="inlineStr">
        <is>
          <t>Pensacola, Fla. : SETAC ; Boca Raton : CRC/Taylor &amp; Francis, c2007.</t>
        </is>
      </c>
      <c r="M218" t="inlineStr">
        <is>
          <t>2007</t>
        </is>
      </c>
      <c r="O218" t="inlineStr">
        <is>
          <t>eng</t>
        </is>
      </c>
      <c r="P218" t="inlineStr">
        <is>
          <t>flu</t>
        </is>
      </c>
      <c r="R218" t="inlineStr">
        <is>
          <t xml:space="preserve">QU </t>
        </is>
      </c>
      <c r="S218" t="n">
        <v>0</v>
      </c>
      <c r="T218" t="n">
        <v>0</v>
      </c>
      <c r="U218" t="inlineStr">
        <is>
          <t>2007-11-16</t>
        </is>
      </c>
      <c r="V218" t="inlineStr">
        <is>
          <t>2007-11-16</t>
        </is>
      </c>
      <c r="W218" t="inlineStr">
        <is>
          <t>2007-11-15</t>
        </is>
      </c>
      <c r="X218" t="inlineStr">
        <is>
          <t>2007-11-15</t>
        </is>
      </c>
      <c r="Y218" t="n">
        <v>82</v>
      </c>
      <c r="Z218" t="n">
        <v>51</v>
      </c>
      <c r="AA218" t="n">
        <v>105</v>
      </c>
      <c r="AB218" t="n">
        <v>1</v>
      </c>
      <c r="AC218" t="n">
        <v>1</v>
      </c>
      <c r="AD218" t="n">
        <v>1</v>
      </c>
      <c r="AE218" t="n">
        <v>1</v>
      </c>
      <c r="AF218" t="n">
        <v>0</v>
      </c>
      <c r="AG218" t="n">
        <v>0</v>
      </c>
      <c r="AH218" t="n">
        <v>0</v>
      </c>
      <c r="AI218" t="n">
        <v>0</v>
      </c>
      <c r="AJ218" t="n">
        <v>1</v>
      </c>
      <c r="AK218" t="n">
        <v>1</v>
      </c>
      <c r="AL218" t="n">
        <v>0</v>
      </c>
      <c r="AM218" t="n">
        <v>0</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HYPERLINK("https://creighton-primo.hosted.exlibrisgroup.com/primo-explore/search?tab=default_tab&amp;search_scope=EVERYTHING&amp;vid=01CRU&amp;lang=en_US&amp;offset=0&amp;query=any,contains,991000661899702656","Catalog Record")</f>
        <v/>
      </c>
      <c r="AT218">
        <f>HYPERLINK("http://www.worldcat.org/oclc/71842749","WorldCat Record")</f>
        <v/>
      </c>
      <c r="AU218" t="inlineStr">
        <is>
          <t>801037240:eng</t>
        </is>
      </c>
      <c r="AV218" t="inlineStr">
        <is>
          <t>71842749</t>
        </is>
      </c>
      <c r="AW218" t="inlineStr">
        <is>
          <t>991000661899702656</t>
        </is>
      </c>
      <c r="AX218" t="inlineStr">
        <is>
          <t>991000661899702656</t>
        </is>
      </c>
      <c r="AY218" t="inlineStr">
        <is>
          <t>2257202390002656</t>
        </is>
      </c>
      <c r="AZ218" t="inlineStr">
        <is>
          <t>BOOK</t>
        </is>
      </c>
      <c r="BB218" t="inlineStr">
        <is>
          <t>9781420043341</t>
        </is>
      </c>
      <c r="BC218" t="inlineStr">
        <is>
          <t>30001005272804</t>
        </is>
      </c>
      <c r="BD218" t="inlineStr">
        <is>
          <t>893450011</t>
        </is>
      </c>
    </row>
    <row r="219">
      <c r="A219" t="inlineStr">
        <is>
          <t>No</t>
        </is>
      </c>
      <c r="B219" t="inlineStr">
        <is>
          <t>QU 60 B666p</t>
        </is>
      </c>
      <c r="C219" t="inlineStr">
        <is>
          <t>0                      QU 0060000B  666p</t>
        </is>
      </c>
      <c r="D219" t="inlineStr">
        <is>
          <t>Peptide synthesis / Miklos Bodanszky, Yakir S. Klausner, Miguel A. Ondetti.</t>
        </is>
      </c>
      <c r="F219" t="inlineStr">
        <is>
          <t>No</t>
        </is>
      </c>
      <c r="G219" t="inlineStr">
        <is>
          <t>1</t>
        </is>
      </c>
      <c r="H219" t="inlineStr">
        <is>
          <t>No</t>
        </is>
      </c>
      <c r="I219" t="inlineStr">
        <is>
          <t>No</t>
        </is>
      </c>
      <c r="J219" t="inlineStr">
        <is>
          <t>0</t>
        </is>
      </c>
      <c r="K219" t="inlineStr">
        <is>
          <t>Bodanszky, Miklos.</t>
        </is>
      </c>
      <c r="L219" t="inlineStr">
        <is>
          <t>New York : Wiley, c1976.</t>
        </is>
      </c>
      <c r="M219" t="inlineStr">
        <is>
          <t>1976</t>
        </is>
      </c>
      <c r="N219" t="inlineStr">
        <is>
          <t>2d ed.</t>
        </is>
      </c>
      <c r="O219" t="inlineStr">
        <is>
          <t>eng</t>
        </is>
      </c>
      <c r="P219" t="inlineStr">
        <is>
          <t>nyu</t>
        </is>
      </c>
      <c r="Q219" t="inlineStr">
        <is>
          <t>Interscience monographs on organic chemistry</t>
        </is>
      </c>
      <c r="R219" t="inlineStr">
        <is>
          <t xml:space="preserve">QU </t>
        </is>
      </c>
      <c r="S219" t="n">
        <v>7</v>
      </c>
      <c r="T219" t="n">
        <v>7</v>
      </c>
      <c r="U219" t="inlineStr">
        <is>
          <t>2002-04-08</t>
        </is>
      </c>
      <c r="V219" t="inlineStr">
        <is>
          <t>2002-04-08</t>
        </is>
      </c>
      <c r="W219" t="inlineStr">
        <is>
          <t>1987-12-23</t>
        </is>
      </c>
      <c r="X219" t="inlineStr">
        <is>
          <t>1987-12-23</t>
        </is>
      </c>
      <c r="Y219" t="n">
        <v>336</v>
      </c>
      <c r="Z219" t="n">
        <v>248</v>
      </c>
      <c r="AA219" t="n">
        <v>451</v>
      </c>
      <c r="AB219" t="n">
        <v>2</v>
      </c>
      <c r="AC219" t="n">
        <v>4</v>
      </c>
      <c r="AD219" t="n">
        <v>8</v>
      </c>
      <c r="AE219" t="n">
        <v>17</v>
      </c>
      <c r="AF219" t="n">
        <v>0</v>
      </c>
      <c r="AG219" t="n">
        <v>4</v>
      </c>
      <c r="AH219" t="n">
        <v>3</v>
      </c>
      <c r="AI219" t="n">
        <v>3</v>
      </c>
      <c r="AJ219" t="n">
        <v>5</v>
      </c>
      <c r="AK219" t="n">
        <v>8</v>
      </c>
      <c r="AL219" t="n">
        <v>1</v>
      </c>
      <c r="AM219" t="n">
        <v>3</v>
      </c>
      <c r="AN219" t="n">
        <v>0</v>
      </c>
      <c r="AO219" t="n">
        <v>0</v>
      </c>
      <c r="AP219" t="inlineStr">
        <is>
          <t>No</t>
        </is>
      </c>
      <c r="AQ219" t="inlineStr">
        <is>
          <t>Yes</t>
        </is>
      </c>
      <c r="AR219">
        <f>HYPERLINK("http://catalog.hathitrust.org/Record/007474940","HathiTrust Record")</f>
        <v/>
      </c>
      <c r="AS219">
        <f>HYPERLINK("https://creighton-primo.hosted.exlibrisgroup.com/primo-explore/search?tab=default_tab&amp;search_scope=EVERYTHING&amp;vid=01CRU&amp;lang=en_US&amp;offset=0&amp;query=any,contains,991000898149702656","Catalog Record")</f>
        <v/>
      </c>
      <c r="AT219">
        <f>HYPERLINK("http://www.worldcat.org/oclc/2213264","WorldCat Record")</f>
        <v/>
      </c>
      <c r="AU219" t="inlineStr">
        <is>
          <t>3856335543:eng</t>
        </is>
      </c>
      <c r="AV219" t="inlineStr">
        <is>
          <t>2213264</t>
        </is>
      </c>
      <c r="AW219" t="inlineStr">
        <is>
          <t>991000898149702656</t>
        </is>
      </c>
      <c r="AX219" t="inlineStr">
        <is>
          <t>991000898149702656</t>
        </is>
      </c>
      <c r="AY219" t="inlineStr">
        <is>
          <t>2256135430002656</t>
        </is>
      </c>
      <c r="AZ219" t="inlineStr">
        <is>
          <t>BOOK</t>
        </is>
      </c>
      <c r="BB219" t="inlineStr">
        <is>
          <t>9780471084518</t>
        </is>
      </c>
      <c r="BC219" t="inlineStr">
        <is>
          <t>30001000158727</t>
        </is>
      </c>
      <c r="BD219" t="inlineStr">
        <is>
          <t>893374071</t>
        </is>
      </c>
    </row>
    <row r="220">
      <c r="A220" t="inlineStr">
        <is>
          <t>No</t>
        </is>
      </c>
      <c r="B220" t="inlineStr">
        <is>
          <t>QU 60 E968 1996</t>
        </is>
      </c>
      <c r="C220" t="inlineStr">
        <is>
          <t>0                      QU 0060000E  968         1996</t>
        </is>
      </c>
      <c r="D220" t="inlineStr">
        <is>
          <t>Excitatory amino acids : their role in neuroendocrine function / edited by Darrell W. Brann, Virendra B. Mahesh.</t>
        </is>
      </c>
      <c r="F220" t="inlineStr">
        <is>
          <t>No</t>
        </is>
      </c>
      <c r="G220" t="inlineStr">
        <is>
          <t>1</t>
        </is>
      </c>
      <c r="H220" t="inlineStr">
        <is>
          <t>No</t>
        </is>
      </c>
      <c r="I220" t="inlineStr">
        <is>
          <t>No</t>
        </is>
      </c>
      <c r="J220" t="inlineStr">
        <is>
          <t>0</t>
        </is>
      </c>
      <c r="L220" t="inlineStr">
        <is>
          <t>Boca Raton : CRC Press, c1996.</t>
        </is>
      </c>
      <c r="M220" t="inlineStr">
        <is>
          <t>1996</t>
        </is>
      </c>
      <c r="O220" t="inlineStr">
        <is>
          <t>eng</t>
        </is>
      </c>
      <c r="P220" t="inlineStr">
        <is>
          <t>flu</t>
        </is>
      </c>
      <c r="R220" t="inlineStr">
        <is>
          <t xml:space="preserve">QU </t>
        </is>
      </c>
      <c r="S220" t="n">
        <v>2</v>
      </c>
      <c r="T220" t="n">
        <v>2</v>
      </c>
      <c r="U220" t="inlineStr">
        <is>
          <t>1997-06-09</t>
        </is>
      </c>
      <c r="V220" t="inlineStr">
        <is>
          <t>1997-06-09</t>
        </is>
      </c>
      <c r="W220" t="inlineStr">
        <is>
          <t>1997-06-09</t>
        </is>
      </c>
      <c r="X220" t="inlineStr">
        <is>
          <t>1997-06-09</t>
        </is>
      </c>
      <c r="Y220" t="n">
        <v>104</v>
      </c>
      <c r="Z220" t="n">
        <v>80</v>
      </c>
      <c r="AA220" t="n">
        <v>81</v>
      </c>
      <c r="AB220" t="n">
        <v>1</v>
      </c>
      <c r="AC220" t="n">
        <v>1</v>
      </c>
      <c r="AD220" t="n">
        <v>4</v>
      </c>
      <c r="AE220" t="n">
        <v>4</v>
      </c>
      <c r="AF220" t="n">
        <v>1</v>
      </c>
      <c r="AG220" t="n">
        <v>1</v>
      </c>
      <c r="AH220" t="n">
        <v>3</v>
      </c>
      <c r="AI220" t="n">
        <v>3</v>
      </c>
      <c r="AJ220" t="n">
        <v>1</v>
      </c>
      <c r="AK220" t="n">
        <v>1</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HYPERLINK("https://creighton-primo.hosted.exlibrisgroup.com/primo-explore/search?tab=default_tab&amp;search_scope=EVERYTHING&amp;vid=01CRU&amp;lang=en_US&amp;offset=0&amp;query=any,contains,991001560739702656","Catalog Record")</f>
        <v/>
      </c>
      <c r="AT220">
        <f>HYPERLINK("http://www.worldcat.org/oclc/33008055","WorldCat Record")</f>
        <v/>
      </c>
      <c r="AU220" t="inlineStr">
        <is>
          <t>836982762:eng</t>
        </is>
      </c>
      <c r="AV220" t="inlineStr">
        <is>
          <t>33008055</t>
        </is>
      </c>
      <c r="AW220" t="inlineStr">
        <is>
          <t>991001560739702656</t>
        </is>
      </c>
      <c r="AX220" t="inlineStr">
        <is>
          <t>991001560739702656</t>
        </is>
      </c>
      <c r="AY220" t="inlineStr">
        <is>
          <t>2261517410002656</t>
        </is>
      </c>
      <c r="AZ220" t="inlineStr">
        <is>
          <t>BOOK</t>
        </is>
      </c>
      <c r="BB220" t="inlineStr">
        <is>
          <t>9780849376627</t>
        </is>
      </c>
      <c r="BC220" t="inlineStr">
        <is>
          <t>30001003672542</t>
        </is>
      </c>
      <c r="BD220" t="inlineStr">
        <is>
          <t>893369477</t>
        </is>
      </c>
    </row>
    <row r="221">
      <c r="A221" t="inlineStr">
        <is>
          <t>No</t>
        </is>
      </c>
      <c r="B221" t="inlineStr">
        <is>
          <t>QU 60 H236 1984 v.2</t>
        </is>
      </c>
      <c r="C221" t="inlineStr">
        <is>
          <t>0                      QU 0060000H  236         1984                                        v.2</t>
        </is>
      </c>
      <c r="D221" t="inlineStr">
        <is>
          <t>Handbook of HPLC for the separation of amino acids, peptides, and proteins : Volume II / editor, William S. Hancock.</t>
        </is>
      </c>
      <c r="E221" t="inlineStr">
        <is>
          <t>V.2</t>
        </is>
      </c>
      <c r="F221" t="inlineStr">
        <is>
          <t>Yes</t>
        </is>
      </c>
      <c r="G221" t="inlineStr">
        <is>
          <t>1</t>
        </is>
      </c>
      <c r="H221" t="inlineStr">
        <is>
          <t>Yes</t>
        </is>
      </c>
      <c r="I221" t="inlineStr">
        <is>
          <t>No</t>
        </is>
      </c>
      <c r="J221" t="inlineStr">
        <is>
          <t>0</t>
        </is>
      </c>
      <c r="L221" t="inlineStr">
        <is>
          <t>Boca Raton, Fla. : CRC Press, c1984.</t>
        </is>
      </c>
      <c r="M221" t="inlineStr">
        <is>
          <t>1984</t>
        </is>
      </c>
      <c r="O221" t="inlineStr">
        <is>
          <t>eng</t>
        </is>
      </c>
      <c r="P221" t="inlineStr">
        <is>
          <t>xxu</t>
        </is>
      </c>
      <c r="R221" t="inlineStr">
        <is>
          <t xml:space="preserve">QU </t>
        </is>
      </c>
      <c r="S221" t="n">
        <v>9</v>
      </c>
      <c r="T221" t="n">
        <v>9</v>
      </c>
      <c r="U221" t="inlineStr">
        <is>
          <t>2001-11-28</t>
        </is>
      </c>
      <c r="V221" t="inlineStr">
        <is>
          <t>2001-11-28</t>
        </is>
      </c>
      <c r="W221" t="inlineStr">
        <is>
          <t>1988-01-28</t>
        </is>
      </c>
      <c r="X221" t="inlineStr">
        <is>
          <t>1988-01-28</t>
        </is>
      </c>
      <c r="Y221" t="n">
        <v>530</v>
      </c>
      <c r="Z221" t="n">
        <v>399</v>
      </c>
      <c r="AA221" t="n">
        <v>405</v>
      </c>
      <c r="AB221" t="n">
        <v>3</v>
      </c>
      <c r="AC221" t="n">
        <v>3</v>
      </c>
      <c r="AD221" t="n">
        <v>9</v>
      </c>
      <c r="AE221" t="n">
        <v>9</v>
      </c>
      <c r="AF221" t="n">
        <v>1</v>
      </c>
      <c r="AG221" t="n">
        <v>1</v>
      </c>
      <c r="AH221" t="n">
        <v>3</v>
      </c>
      <c r="AI221" t="n">
        <v>3</v>
      </c>
      <c r="AJ221" t="n">
        <v>6</v>
      </c>
      <c r="AK221" t="n">
        <v>6</v>
      </c>
      <c r="AL221" t="n">
        <v>1</v>
      </c>
      <c r="AM221" t="n">
        <v>1</v>
      </c>
      <c r="AN221" t="n">
        <v>0</v>
      </c>
      <c r="AO221" t="n">
        <v>0</v>
      </c>
      <c r="AP221" t="inlineStr">
        <is>
          <t>No</t>
        </is>
      </c>
      <c r="AQ221" t="inlineStr">
        <is>
          <t>Yes</t>
        </is>
      </c>
      <c r="AR221">
        <f>HYPERLINK("http://catalog.hathitrust.org/Record/000208455","HathiTrust Record")</f>
        <v/>
      </c>
      <c r="AS221">
        <f>HYPERLINK("https://creighton-primo.hosted.exlibrisgroup.com/primo-explore/search?tab=default_tab&amp;search_scope=EVERYTHING&amp;vid=01CRU&amp;lang=en_US&amp;offset=0&amp;query=any,contains,991000573999702656","Catalog Record")</f>
        <v/>
      </c>
      <c r="AT221">
        <f>HYPERLINK("http://www.worldcat.org/oclc/9757331","WorldCat Record")</f>
        <v/>
      </c>
      <c r="AU221" t="inlineStr">
        <is>
          <t>10141824727:eng</t>
        </is>
      </c>
      <c r="AV221" t="inlineStr">
        <is>
          <t>9757331</t>
        </is>
      </c>
      <c r="AW221" t="inlineStr">
        <is>
          <t>991000573999702656</t>
        </is>
      </c>
      <c r="AX221" t="inlineStr">
        <is>
          <t>991000573999702656</t>
        </is>
      </c>
      <c r="AY221" t="inlineStr">
        <is>
          <t>2262106180002656</t>
        </is>
      </c>
      <c r="AZ221" t="inlineStr">
        <is>
          <t>BOOK</t>
        </is>
      </c>
      <c r="BB221" t="inlineStr">
        <is>
          <t>9780849335112</t>
        </is>
      </c>
      <c r="BC221" t="inlineStr">
        <is>
          <t>30001000003287</t>
        </is>
      </c>
      <c r="BD221" t="inlineStr">
        <is>
          <t>893166908</t>
        </is>
      </c>
    </row>
    <row r="222">
      <c r="A222" t="inlineStr">
        <is>
          <t>No</t>
        </is>
      </c>
      <c r="B222" t="inlineStr">
        <is>
          <t>QU 60 M5913 1999</t>
        </is>
      </c>
      <c r="C222" t="inlineStr">
        <is>
          <t>0                      QU 0060000M  5913        1999</t>
        </is>
      </c>
      <c r="D222" t="inlineStr">
        <is>
          <t>Methods for investigation of amino acid and protein metabolism / edited by Antoine E. El-Khoury.</t>
        </is>
      </c>
      <c r="F222" t="inlineStr">
        <is>
          <t>No</t>
        </is>
      </c>
      <c r="G222" t="inlineStr">
        <is>
          <t>1</t>
        </is>
      </c>
      <c r="H222" t="inlineStr">
        <is>
          <t>No</t>
        </is>
      </c>
      <c r="I222" t="inlineStr">
        <is>
          <t>No</t>
        </is>
      </c>
      <c r="J222" t="inlineStr">
        <is>
          <t>0</t>
        </is>
      </c>
      <c r="L222" t="inlineStr">
        <is>
          <t>Boca Raton : CRC Press, c1999.</t>
        </is>
      </c>
      <c r="M222" t="inlineStr">
        <is>
          <t>1999</t>
        </is>
      </c>
      <c r="O222" t="inlineStr">
        <is>
          <t>eng</t>
        </is>
      </c>
      <c r="P222" t="inlineStr">
        <is>
          <t>flu</t>
        </is>
      </c>
      <c r="Q222" t="inlineStr">
        <is>
          <t>Methods in nutrition research</t>
        </is>
      </c>
      <c r="R222" t="inlineStr">
        <is>
          <t xml:space="preserve">QU </t>
        </is>
      </c>
      <c r="S222" t="n">
        <v>0</v>
      </c>
      <c r="T222" t="n">
        <v>0</v>
      </c>
      <c r="U222" t="inlineStr">
        <is>
          <t>2010-04-08</t>
        </is>
      </c>
      <c r="V222" t="inlineStr">
        <is>
          <t>2010-04-08</t>
        </is>
      </c>
      <c r="W222" t="inlineStr">
        <is>
          <t>2010-04-05</t>
        </is>
      </c>
      <c r="X222" t="inlineStr">
        <is>
          <t>2010-04-05</t>
        </is>
      </c>
      <c r="Y222" t="n">
        <v>216</v>
      </c>
      <c r="Z222" t="n">
        <v>173</v>
      </c>
      <c r="AA222" t="n">
        <v>203</v>
      </c>
      <c r="AB222" t="n">
        <v>2</v>
      </c>
      <c r="AC222" t="n">
        <v>2</v>
      </c>
      <c r="AD222" t="n">
        <v>7</v>
      </c>
      <c r="AE222" t="n">
        <v>7</v>
      </c>
      <c r="AF222" t="n">
        <v>2</v>
      </c>
      <c r="AG222" t="n">
        <v>2</v>
      </c>
      <c r="AH222" t="n">
        <v>4</v>
      </c>
      <c r="AI222" t="n">
        <v>4</v>
      </c>
      <c r="AJ222" t="n">
        <v>3</v>
      </c>
      <c r="AK222" t="n">
        <v>3</v>
      </c>
      <c r="AL222" t="n">
        <v>1</v>
      </c>
      <c r="AM222" t="n">
        <v>1</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HYPERLINK("https://creighton-primo.hosted.exlibrisgroup.com/primo-explore/search?tab=default_tab&amp;search_scope=EVERYTHING&amp;vid=01CRU&amp;lang=en_US&amp;offset=0&amp;query=any,contains,991001577509702656","Catalog Record")</f>
        <v/>
      </c>
      <c r="AT222">
        <f>HYPERLINK("http://www.worldcat.org/oclc/40534144","WorldCat Record")</f>
        <v/>
      </c>
      <c r="AU222" t="inlineStr">
        <is>
          <t>25925368:eng</t>
        </is>
      </c>
      <c r="AV222" t="inlineStr">
        <is>
          <t>40534144</t>
        </is>
      </c>
      <c r="AW222" t="inlineStr">
        <is>
          <t>991001577509702656</t>
        </is>
      </c>
      <c r="AX222" t="inlineStr">
        <is>
          <t>991001577509702656</t>
        </is>
      </c>
      <c r="AY222" t="inlineStr">
        <is>
          <t>2272804200002656</t>
        </is>
      </c>
      <c r="AZ222" t="inlineStr">
        <is>
          <t>BOOK</t>
        </is>
      </c>
      <c r="BB222" t="inlineStr">
        <is>
          <t>9780849396120</t>
        </is>
      </c>
      <c r="BC222" t="inlineStr">
        <is>
          <t>30001005344827</t>
        </is>
      </c>
      <c r="BD222" t="inlineStr">
        <is>
          <t>893727779</t>
        </is>
      </c>
    </row>
    <row r="223">
      <c r="A223" t="inlineStr">
        <is>
          <t>No</t>
        </is>
      </c>
      <c r="B223" t="inlineStr">
        <is>
          <t>QU 60 P424 1976</t>
        </is>
      </c>
      <c r="C223" t="inlineStr">
        <is>
          <t>0                      QU 0060000P  424         1976</t>
        </is>
      </c>
      <c r="D223" t="inlineStr">
        <is>
          <t>Peptide hormones / edited by J. A. Parsons.</t>
        </is>
      </c>
      <c r="F223" t="inlineStr">
        <is>
          <t>No</t>
        </is>
      </c>
      <c r="G223" t="inlineStr">
        <is>
          <t>1</t>
        </is>
      </c>
      <c r="H223" t="inlineStr">
        <is>
          <t>No</t>
        </is>
      </c>
      <c r="I223" t="inlineStr">
        <is>
          <t>No</t>
        </is>
      </c>
      <c r="J223" t="inlineStr">
        <is>
          <t>0</t>
        </is>
      </c>
      <c r="L223" t="inlineStr">
        <is>
          <t>Baltimore : University Park Press, c1976.</t>
        </is>
      </c>
      <c r="M223" t="inlineStr">
        <is>
          <t>1976</t>
        </is>
      </c>
      <c r="O223" t="inlineStr">
        <is>
          <t>eng</t>
        </is>
      </c>
      <c r="P223" t="inlineStr">
        <is>
          <t>mdu</t>
        </is>
      </c>
      <c r="R223" t="inlineStr">
        <is>
          <t xml:space="preserve">QU </t>
        </is>
      </c>
      <c r="S223" t="n">
        <v>3</v>
      </c>
      <c r="T223" t="n">
        <v>3</v>
      </c>
      <c r="U223" t="inlineStr">
        <is>
          <t>2000-04-29</t>
        </is>
      </c>
      <c r="V223" t="inlineStr">
        <is>
          <t>2000-04-29</t>
        </is>
      </c>
      <c r="W223" t="inlineStr">
        <is>
          <t>1987-12-23</t>
        </is>
      </c>
      <c r="X223" t="inlineStr">
        <is>
          <t>1987-12-23</t>
        </is>
      </c>
      <c r="Y223" t="n">
        <v>193</v>
      </c>
      <c r="Z223" t="n">
        <v>170</v>
      </c>
      <c r="AA223" t="n">
        <v>208</v>
      </c>
      <c r="AB223" t="n">
        <v>1</v>
      </c>
      <c r="AC223" t="n">
        <v>2</v>
      </c>
      <c r="AD223" t="n">
        <v>6</v>
      </c>
      <c r="AE223" t="n">
        <v>9</v>
      </c>
      <c r="AF223" t="n">
        <v>2</v>
      </c>
      <c r="AG223" t="n">
        <v>2</v>
      </c>
      <c r="AH223" t="n">
        <v>2</v>
      </c>
      <c r="AI223" t="n">
        <v>3</v>
      </c>
      <c r="AJ223" t="n">
        <v>3</v>
      </c>
      <c r="AK223" t="n">
        <v>5</v>
      </c>
      <c r="AL223" t="n">
        <v>0</v>
      </c>
      <c r="AM223" t="n">
        <v>1</v>
      </c>
      <c r="AN223" t="n">
        <v>0</v>
      </c>
      <c r="AO223" t="n">
        <v>0</v>
      </c>
      <c r="AP223" t="inlineStr">
        <is>
          <t>No</t>
        </is>
      </c>
      <c r="AQ223" t="inlineStr">
        <is>
          <t>Yes</t>
        </is>
      </c>
      <c r="AR223">
        <f>HYPERLINK("http://catalog.hathitrust.org/Record/000693642","HathiTrust Record")</f>
        <v/>
      </c>
      <c r="AS223">
        <f>HYPERLINK("https://creighton-primo.hosted.exlibrisgroup.com/primo-explore/search?tab=default_tab&amp;search_scope=EVERYTHING&amp;vid=01CRU&amp;lang=en_US&amp;offset=0&amp;query=any,contains,991000898489702656","Catalog Record")</f>
        <v/>
      </c>
      <c r="AT223">
        <f>HYPERLINK("http://www.worldcat.org/oclc/1858465","WorldCat Record")</f>
        <v/>
      </c>
      <c r="AU223" t="inlineStr">
        <is>
          <t>918365671:eng</t>
        </is>
      </c>
      <c r="AV223" t="inlineStr">
        <is>
          <t>1858465</t>
        </is>
      </c>
      <c r="AW223" t="inlineStr">
        <is>
          <t>991000898489702656</t>
        </is>
      </c>
      <c r="AX223" t="inlineStr">
        <is>
          <t>991000898489702656</t>
        </is>
      </c>
      <c r="AY223" t="inlineStr">
        <is>
          <t>2266861150002656</t>
        </is>
      </c>
      <c r="AZ223" t="inlineStr">
        <is>
          <t>BOOK</t>
        </is>
      </c>
      <c r="BB223" t="inlineStr">
        <is>
          <t>9780839107705</t>
        </is>
      </c>
      <c r="BC223" t="inlineStr">
        <is>
          <t>30001000158974</t>
        </is>
      </c>
      <c r="BD223" t="inlineStr">
        <is>
          <t>893637751</t>
        </is>
      </c>
    </row>
    <row r="224">
      <c r="A224" t="inlineStr">
        <is>
          <t>No</t>
        </is>
      </c>
      <c r="B224" t="inlineStr">
        <is>
          <t>QU 68 A244 1987</t>
        </is>
      </c>
      <c r="C224" t="inlineStr">
        <is>
          <t>0                      QU 0068000A  244         1987</t>
        </is>
      </c>
      <c r="D224" t="inlineStr">
        <is>
          <t>Advances in atrial peptide research / editors, Barry M. Brenner, John H. Laragh.</t>
        </is>
      </c>
      <c r="E224" t="inlineStr">
        <is>
          <t>V. 2</t>
        </is>
      </c>
      <c r="F224" t="inlineStr">
        <is>
          <t>No</t>
        </is>
      </c>
      <c r="G224" t="inlineStr">
        <is>
          <t>1</t>
        </is>
      </c>
      <c r="H224" t="inlineStr">
        <is>
          <t>No</t>
        </is>
      </c>
      <c r="I224" t="inlineStr">
        <is>
          <t>No</t>
        </is>
      </c>
      <c r="J224" t="inlineStr">
        <is>
          <t>0</t>
        </is>
      </c>
      <c r="L224" t="inlineStr">
        <is>
          <t>New York : Raven Press, c1988.</t>
        </is>
      </c>
      <c r="M224" t="inlineStr">
        <is>
          <t>1988</t>
        </is>
      </c>
      <c r="O224" t="inlineStr">
        <is>
          <t>eng</t>
        </is>
      </c>
      <c r="P224" t="inlineStr">
        <is>
          <t>xxu</t>
        </is>
      </c>
      <c r="Q224" t="inlineStr">
        <is>
          <t>American Society of Hypertension symposium series ; v. 2</t>
        </is>
      </c>
      <c r="R224" t="inlineStr">
        <is>
          <t xml:space="preserve">QU </t>
        </is>
      </c>
      <c r="S224" t="n">
        <v>6</v>
      </c>
      <c r="T224" t="n">
        <v>6</v>
      </c>
      <c r="U224" t="inlineStr">
        <is>
          <t>1993-04-19</t>
        </is>
      </c>
      <c r="V224" t="inlineStr">
        <is>
          <t>1993-04-19</t>
        </is>
      </c>
      <c r="W224" t="inlineStr">
        <is>
          <t>1989-02-08</t>
        </is>
      </c>
      <c r="X224" t="inlineStr">
        <is>
          <t>1989-02-08</t>
        </is>
      </c>
      <c r="Y224" t="n">
        <v>71</v>
      </c>
      <c r="Z224" t="n">
        <v>46</v>
      </c>
      <c r="AA224" t="n">
        <v>48</v>
      </c>
      <c r="AB224" t="n">
        <v>1</v>
      </c>
      <c r="AC224" t="n">
        <v>1</v>
      </c>
      <c r="AD224" t="n">
        <v>0</v>
      </c>
      <c r="AE224" t="n">
        <v>0</v>
      </c>
      <c r="AF224" t="n">
        <v>0</v>
      </c>
      <c r="AG224" t="n">
        <v>0</v>
      </c>
      <c r="AH224" t="n">
        <v>0</v>
      </c>
      <c r="AI224" t="n">
        <v>0</v>
      </c>
      <c r="AJ224" t="n">
        <v>0</v>
      </c>
      <c r="AK224" t="n">
        <v>0</v>
      </c>
      <c r="AL224" t="n">
        <v>0</v>
      </c>
      <c r="AM224" t="n">
        <v>0</v>
      </c>
      <c r="AN224" t="n">
        <v>0</v>
      </c>
      <c r="AO224" t="n">
        <v>0</v>
      </c>
      <c r="AP224" t="inlineStr">
        <is>
          <t>No</t>
        </is>
      </c>
      <c r="AQ224" t="inlineStr">
        <is>
          <t>Yes</t>
        </is>
      </c>
      <c r="AR224">
        <f>HYPERLINK("http://catalog.hathitrust.org/Record/000940065","HathiTrust Record")</f>
        <v/>
      </c>
      <c r="AS224">
        <f>HYPERLINK("https://creighton-primo.hosted.exlibrisgroup.com/primo-explore/search?tab=default_tab&amp;search_scope=EVERYTHING&amp;vid=01CRU&amp;lang=en_US&amp;offset=0&amp;query=any,contains,991001118529702656","Catalog Record")</f>
        <v/>
      </c>
      <c r="AT224">
        <f>HYPERLINK("http://www.worldcat.org/oclc/17727409","WorldCat Record")</f>
        <v/>
      </c>
      <c r="AU224" t="inlineStr">
        <is>
          <t>365307447:eng</t>
        </is>
      </c>
      <c r="AV224" t="inlineStr">
        <is>
          <t>17727409</t>
        </is>
      </c>
      <c r="AW224" t="inlineStr">
        <is>
          <t>991001118529702656</t>
        </is>
      </c>
      <c r="AX224" t="inlineStr">
        <is>
          <t>991001118529702656</t>
        </is>
      </c>
      <c r="AY224" t="inlineStr">
        <is>
          <t>2258877240002656</t>
        </is>
      </c>
      <c r="AZ224" t="inlineStr">
        <is>
          <t>BOOK</t>
        </is>
      </c>
      <c r="BB224" t="inlineStr">
        <is>
          <t>9780881674057</t>
        </is>
      </c>
      <c r="BC224" t="inlineStr">
        <is>
          <t>30001001613944</t>
        </is>
      </c>
      <c r="BD224" t="inlineStr">
        <is>
          <t>893134269</t>
        </is>
      </c>
    </row>
    <row r="225">
      <c r="A225" t="inlineStr">
        <is>
          <t>No</t>
        </is>
      </c>
      <c r="B225" t="inlineStr">
        <is>
          <t>QU 68 A615p 1987</t>
        </is>
      </c>
      <c r="C225" t="inlineStr">
        <is>
          <t>0                      QU 0068000A  615p        1987</t>
        </is>
      </c>
      <c r="D225" t="inlineStr">
        <is>
          <t>Peptides : chemistry, biology, interactions with proteins : proceedings of the 50th Anniversary Symposium of the Nobel-Prize of Albert Szent-Györgyi, Szeged, Hungary, August 31-September 4, 1987 / editors, Botond Penke, Angela Török.</t>
        </is>
      </c>
      <c r="F225" t="inlineStr">
        <is>
          <t>No</t>
        </is>
      </c>
      <c r="G225" t="inlineStr">
        <is>
          <t>1</t>
        </is>
      </c>
      <c r="H225" t="inlineStr">
        <is>
          <t>No</t>
        </is>
      </c>
      <c r="I225" t="inlineStr">
        <is>
          <t>No</t>
        </is>
      </c>
      <c r="J225" t="inlineStr">
        <is>
          <t>0</t>
        </is>
      </c>
      <c r="K225" t="inlineStr">
        <is>
          <t>50th Anniversary Symposium of the Nobel-Prize of Albert Szent-Györgyi (1987 : Albert Szent-Györgyi Medical University)</t>
        </is>
      </c>
      <c r="L225" t="inlineStr">
        <is>
          <t>Berlin ; New York : W. de Gruyter, c1988.</t>
        </is>
      </c>
      <c r="M225" t="inlineStr">
        <is>
          <t>1988</t>
        </is>
      </c>
      <c r="O225" t="inlineStr">
        <is>
          <t>eng</t>
        </is>
      </c>
      <c r="P225" t="inlineStr">
        <is>
          <t xml:space="preserve">gw </t>
        </is>
      </c>
      <c r="R225" t="inlineStr">
        <is>
          <t xml:space="preserve">QU </t>
        </is>
      </c>
      <c r="S225" t="n">
        <v>10</v>
      </c>
      <c r="T225" t="n">
        <v>10</v>
      </c>
      <c r="U225" t="inlineStr">
        <is>
          <t>2004-04-25</t>
        </is>
      </c>
      <c r="V225" t="inlineStr">
        <is>
          <t>2004-04-25</t>
        </is>
      </c>
      <c r="W225" t="inlineStr">
        <is>
          <t>1989-02-27</t>
        </is>
      </c>
      <c r="X225" t="inlineStr">
        <is>
          <t>1989-02-27</t>
        </is>
      </c>
      <c r="Y225" t="n">
        <v>81</v>
      </c>
      <c r="Z225" t="n">
        <v>47</v>
      </c>
      <c r="AA225" t="n">
        <v>49</v>
      </c>
      <c r="AB225" t="n">
        <v>1</v>
      </c>
      <c r="AC225" t="n">
        <v>1</v>
      </c>
      <c r="AD225" t="n">
        <v>0</v>
      </c>
      <c r="AE225" t="n">
        <v>0</v>
      </c>
      <c r="AF225" t="n">
        <v>0</v>
      </c>
      <c r="AG225" t="n">
        <v>0</v>
      </c>
      <c r="AH225" t="n">
        <v>0</v>
      </c>
      <c r="AI225" t="n">
        <v>0</v>
      </c>
      <c r="AJ225" t="n">
        <v>0</v>
      </c>
      <c r="AK225" t="n">
        <v>0</v>
      </c>
      <c r="AL225" t="n">
        <v>0</v>
      </c>
      <c r="AM225" t="n">
        <v>0</v>
      </c>
      <c r="AN225" t="n">
        <v>0</v>
      </c>
      <c r="AO225" t="n">
        <v>0</v>
      </c>
      <c r="AP225" t="inlineStr">
        <is>
          <t>No</t>
        </is>
      </c>
      <c r="AQ225" t="inlineStr">
        <is>
          <t>Yes</t>
        </is>
      </c>
      <c r="AR225">
        <f>HYPERLINK("http://catalog.hathitrust.org/Record/001288964","HathiTrust Record")</f>
        <v/>
      </c>
      <c r="AS225">
        <f>HYPERLINK("https://creighton-primo.hosted.exlibrisgroup.com/primo-explore/search?tab=default_tab&amp;search_scope=EVERYTHING&amp;vid=01CRU&amp;lang=en_US&amp;offset=0&amp;query=any,contains,991001240509702656","Catalog Record")</f>
        <v/>
      </c>
      <c r="AT225">
        <f>HYPERLINK("http://www.worldcat.org/oclc/17918365","WorldCat Record")</f>
        <v/>
      </c>
      <c r="AU225" t="inlineStr">
        <is>
          <t>897145917:eng</t>
        </is>
      </c>
      <c r="AV225" t="inlineStr">
        <is>
          <t>17918365</t>
        </is>
      </c>
      <c r="AW225" t="inlineStr">
        <is>
          <t>991001240509702656</t>
        </is>
      </c>
      <c r="AX225" t="inlineStr">
        <is>
          <t>991001240509702656</t>
        </is>
      </c>
      <c r="AY225" t="inlineStr">
        <is>
          <t>2270633280002656</t>
        </is>
      </c>
      <c r="AZ225" t="inlineStr">
        <is>
          <t>BOOK</t>
        </is>
      </c>
      <c r="BB225" t="inlineStr">
        <is>
          <t>9780899254302</t>
        </is>
      </c>
      <c r="BC225" t="inlineStr">
        <is>
          <t>30001001675489</t>
        </is>
      </c>
      <c r="BD225" t="inlineStr">
        <is>
          <t>893826579</t>
        </is>
      </c>
    </row>
    <row r="226">
      <c r="A226" t="inlineStr">
        <is>
          <t>No</t>
        </is>
      </c>
      <c r="B226" t="inlineStr">
        <is>
          <t>QU 68 A882 1989</t>
        </is>
      </c>
      <c r="C226" t="inlineStr">
        <is>
          <t>0                      QU 0068000A  882         1989</t>
        </is>
      </c>
      <c r="D226" t="inlineStr">
        <is>
          <t>Atrial natriuretic peptides / editors, Willis K. Samson, Remi Quirion.</t>
        </is>
      </c>
      <c r="F226" t="inlineStr">
        <is>
          <t>No</t>
        </is>
      </c>
      <c r="G226" t="inlineStr">
        <is>
          <t>1</t>
        </is>
      </c>
      <c r="H226" t="inlineStr">
        <is>
          <t>No</t>
        </is>
      </c>
      <c r="I226" t="inlineStr">
        <is>
          <t>No</t>
        </is>
      </c>
      <c r="J226" t="inlineStr">
        <is>
          <t>0</t>
        </is>
      </c>
      <c r="L226" t="inlineStr">
        <is>
          <t>Boca Raton, FL : CRC Press, c1989.</t>
        </is>
      </c>
      <c r="M226" t="inlineStr">
        <is>
          <t>1989</t>
        </is>
      </c>
      <c r="O226" t="inlineStr">
        <is>
          <t>eng</t>
        </is>
      </c>
      <c r="P226" t="inlineStr">
        <is>
          <t>xxu</t>
        </is>
      </c>
      <c r="R226" t="inlineStr">
        <is>
          <t xml:space="preserve">QU </t>
        </is>
      </c>
      <c r="S226" t="n">
        <v>5</v>
      </c>
      <c r="T226" t="n">
        <v>5</v>
      </c>
      <c r="U226" t="inlineStr">
        <is>
          <t>1993-12-02</t>
        </is>
      </c>
      <c r="V226" t="inlineStr">
        <is>
          <t>1993-12-02</t>
        </is>
      </c>
      <c r="W226" t="inlineStr">
        <is>
          <t>1989-06-27</t>
        </is>
      </c>
      <c r="X226" t="inlineStr">
        <is>
          <t>1989-06-27</t>
        </is>
      </c>
      <c r="Y226" t="n">
        <v>88</v>
      </c>
      <c r="Z226" t="n">
        <v>59</v>
      </c>
      <c r="AA226" t="n">
        <v>62</v>
      </c>
      <c r="AB226" t="n">
        <v>1</v>
      </c>
      <c r="AC226" t="n">
        <v>1</v>
      </c>
      <c r="AD226" t="n">
        <v>4</v>
      </c>
      <c r="AE226" t="n">
        <v>4</v>
      </c>
      <c r="AF226" t="n">
        <v>2</v>
      </c>
      <c r="AG226" t="n">
        <v>2</v>
      </c>
      <c r="AH226" t="n">
        <v>2</v>
      </c>
      <c r="AI226" t="n">
        <v>2</v>
      </c>
      <c r="AJ226" t="n">
        <v>2</v>
      </c>
      <c r="AK226" t="n">
        <v>2</v>
      </c>
      <c r="AL226" t="n">
        <v>0</v>
      </c>
      <c r="AM226" t="n">
        <v>0</v>
      </c>
      <c r="AN226" t="n">
        <v>0</v>
      </c>
      <c r="AO226" t="n">
        <v>0</v>
      </c>
      <c r="AP226" t="inlineStr">
        <is>
          <t>No</t>
        </is>
      </c>
      <c r="AQ226" t="inlineStr">
        <is>
          <t>Yes</t>
        </is>
      </c>
      <c r="AR226">
        <f>HYPERLINK("http://catalog.hathitrust.org/Record/009492080","HathiTrust Record")</f>
        <v/>
      </c>
      <c r="AS226">
        <f>HYPERLINK("https://creighton-primo.hosted.exlibrisgroup.com/primo-explore/search?tab=default_tab&amp;search_scope=EVERYTHING&amp;vid=01CRU&amp;lang=en_US&amp;offset=0&amp;query=any,contains,991001251719702656","Catalog Record")</f>
        <v/>
      </c>
      <c r="AT226">
        <f>HYPERLINK("http://www.worldcat.org/oclc/19125894","WorldCat Record")</f>
        <v/>
      </c>
      <c r="AU226" t="inlineStr">
        <is>
          <t>55184119:eng</t>
        </is>
      </c>
      <c r="AV226" t="inlineStr">
        <is>
          <t>19125894</t>
        </is>
      </c>
      <c r="AW226" t="inlineStr">
        <is>
          <t>991001251719702656</t>
        </is>
      </c>
      <c r="AX226" t="inlineStr">
        <is>
          <t>991001251719702656</t>
        </is>
      </c>
      <c r="AY226" t="inlineStr">
        <is>
          <t>2269197330002656</t>
        </is>
      </c>
      <c r="AZ226" t="inlineStr">
        <is>
          <t>BOOK</t>
        </is>
      </c>
      <c r="BB226" t="inlineStr">
        <is>
          <t>9780849362491</t>
        </is>
      </c>
      <c r="BC226" t="inlineStr">
        <is>
          <t>30001001679085</t>
        </is>
      </c>
      <c r="BD226" t="inlineStr">
        <is>
          <t>893465328</t>
        </is>
      </c>
    </row>
    <row r="227">
      <c r="A227" t="inlineStr">
        <is>
          <t>No</t>
        </is>
      </c>
      <c r="B227" t="inlineStr">
        <is>
          <t>QU 68 B8115 1991</t>
        </is>
      </c>
      <c r="C227" t="inlineStr">
        <is>
          <t>0                      QU 0068000B  8115        1991</t>
        </is>
      </c>
      <c r="D227" t="inlineStr">
        <is>
          <t>Bradykinin antagonists : basic and clinical research / edited by Ronald M. Burch.</t>
        </is>
      </c>
      <c r="F227" t="inlineStr">
        <is>
          <t>No</t>
        </is>
      </c>
      <c r="G227" t="inlineStr">
        <is>
          <t>1</t>
        </is>
      </c>
      <c r="H227" t="inlineStr">
        <is>
          <t>No</t>
        </is>
      </c>
      <c r="I227" t="inlineStr">
        <is>
          <t>No</t>
        </is>
      </c>
      <c r="J227" t="inlineStr">
        <is>
          <t>0</t>
        </is>
      </c>
      <c r="L227" t="inlineStr">
        <is>
          <t>New York : Dekker, c1991.</t>
        </is>
      </c>
      <c r="M227" t="inlineStr">
        <is>
          <t>1991</t>
        </is>
      </c>
      <c r="O227" t="inlineStr">
        <is>
          <t>eng</t>
        </is>
      </c>
      <c r="P227" t="inlineStr">
        <is>
          <t>nyu</t>
        </is>
      </c>
      <c r="Q227" t="inlineStr">
        <is>
          <t>Inflammatory disease and therapy ; 5</t>
        </is>
      </c>
      <c r="R227" t="inlineStr">
        <is>
          <t xml:space="preserve">QU </t>
        </is>
      </c>
      <c r="S227" t="n">
        <v>8</v>
      </c>
      <c r="T227" t="n">
        <v>8</v>
      </c>
      <c r="U227" t="inlineStr">
        <is>
          <t>2002-08-21</t>
        </is>
      </c>
      <c r="V227" t="inlineStr">
        <is>
          <t>2002-08-21</t>
        </is>
      </c>
      <c r="W227" t="inlineStr">
        <is>
          <t>1991-02-19</t>
        </is>
      </c>
      <c r="X227" t="inlineStr">
        <is>
          <t>1991-02-19</t>
        </is>
      </c>
      <c r="Y227" t="n">
        <v>71</v>
      </c>
      <c r="Z227" t="n">
        <v>57</v>
      </c>
      <c r="AA227" t="n">
        <v>59</v>
      </c>
      <c r="AB227" t="n">
        <v>1</v>
      </c>
      <c r="AC227" t="n">
        <v>1</v>
      </c>
      <c r="AD227" t="n">
        <v>2</v>
      </c>
      <c r="AE227" t="n">
        <v>2</v>
      </c>
      <c r="AF227" t="n">
        <v>1</v>
      </c>
      <c r="AG227" t="n">
        <v>1</v>
      </c>
      <c r="AH227" t="n">
        <v>0</v>
      </c>
      <c r="AI227" t="n">
        <v>0</v>
      </c>
      <c r="AJ227" t="n">
        <v>1</v>
      </c>
      <c r="AK227" t="n">
        <v>1</v>
      </c>
      <c r="AL227" t="n">
        <v>0</v>
      </c>
      <c r="AM227" t="n">
        <v>0</v>
      </c>
      <c r="AN227" t="n">
        <v>0</v>
      </c>
      <c r="AO227" t="n">
        <v>0</v>
      </c>
      <c r="AP227" t="inlineStr">
        <is>
          <t>No</t>
        </is>
      </c>
      <c r="AQ227" t="inlineStr">
        <is>
          <t>Yes</t>
        </is>
      </c>
      <c r="AR227">
        <f>HYPERLINK("http://catalog.hathitrust.org/Record/002448202","HathiTrust Record")</f>
        <v/>
      </c>
      <c r="AS227">
        <f>HYPERLINK("https://creighton-primo.hosted.exlibrisgroup.com/primo-explore/search?tab=default_tab&amp;search_scope=EVERYTHING&amp;vid=01CRU&amp;lang=en_US&amp;offset=0&amp;query=any,contains,991000821439702656","Catalog Record")</f>
        <v/>
      </c>
      <c r="AT227">
        <f>HYPERLINK("http://www.worldcat.org/oclc/22345212","WorldCat Record")</f>
        <v/>
      </c>
      <c r="AU227" t="inlineStr">
        <is>
          <t>795596522:eng</t>
        </is>
      </c>
      <c r="AV227" t="inlineStr">
        <is>
          <t>22345212</t>
        </is>
      </c>
      <c r="AW227" t="inlineStr">
        <is>
          <t>991000821439702656</t>
        </is>
      </c>
      <c r="AX227" t="inlineStr">
        <is>
          <t>991000821439702656</t>
        </is>
      </c>
      <c r="AY227" t="inlineStr">
        <is>
          <t>2258063590002656</t>
        </is>
      </c>
      <c r="AZ227" t="inlineStr">
        <is>
          <t>BOOK</t>
        </is>
      </c>
      <c r="BB227" t="inlineStr">
        <is>
          <t>9780824783105</t>
        </is>
      </c>
      <c r="BC227" t="inlineStr">
        <is>
          <t>30001002087619</t>
        </is>
      </c>
      <c r="BD227" t="inlineStr">
        <is>
          <t>893726926</t>
        </is>
      </c>
    </row>
    <row r="228">
      <c r="A228" t="inlineStr">
        <is>
          <t>No</t>
        </is>
      </c>
      <c r="B228" t="inlineStr">
        <is>
          <t>QU 68 C7315 1998</t>
        </is>
      </c>
      <c r="C228" t="inlineStr">
        <is>
          <t>0                      QU 0068000C  7315        1998</t>
        </is>
      </c>
      <c r="D228" t="inlineStr">
        <is>
          <t>Combinatorial peptide library protocols / edited by Shmuel Cabilly.</t>
        </is>
      </c>
      <c r="F228" t="inlineStr">
        <is>
          <t>No</t>
        </is>
      </c>
      <c r="G228" t="inlineStr">
        <is>
          <t>1</t>
        </is>
      </c>
      <c r="H228" t="inlineStr">
        <is>
          <t>No</t>
        </is>
      </c>
      <c r="I228" t="inlineStr">
        <is>
          <t>No</t>
        </is>
      </c>
      <c r="J228" t="inlineStr">
        <is>
          <t>0</t>
        </is>
      </c>
      <c r="L228" t="inlineStr">
        <is>
          <t>Totowa, N.J. : Humana Press, c1998.</t>
        </is>
      </c>
      <c r="M228" t="inlineStr">
        <is>
          <t>1998</t>
        </is>
      </c>
      <c r="O228" t="inlineStr">
        <is>
          <t>eng</t>
        </is>
      </c>
      <c r="P228" t="inlineStr">
        <is>
          <t>nju</t>
        </is>
      </c>
      <c r="Q228" t="inlineStr">
        <is>
          <t>Methods in molecular biology ; v. 87</t>
        </is>
      </c>
      <c r="R228" t="inlineStr">
        <is>
          <t xml:space="preserve">QU </t>
        </is>
      </c>
      <c r="S228" t="n">
        <v>2</v>
      </c>
      <c r="T228" t="n">
        <v>2</v>
      </c>
      <c r="U228" t="inlineStr">
        <is>
          <t>1999-11-24</t>
        </is>
      </c>
      <c r="V228" t="inlineStr">
        <is>
          <t>1999-11-24</t>
        </is>
      </c>
      <c r="W228" t="inlineStr">
        <is>
          <t>1999-11-09</t>
        </is>
      </c>
      <c r="X228" t="inlineStr">
        <is>
          <t>1999-11-09</t>
        </is>
      </c>
      <c r="Y228" t="n">
        <v>155</v>
      </c>
      <c r="Z228" t="n">
        <v>103</v>
      </c>
      <c r="AA228" t="n">
        <v>169</v>
      </c>
      <c r="AB228" t="n">
        <v>2</v>
      </c>
      <c r="AC228" t="n">
        <v>3</v>
      </c>
      <c r="AD228" t="n">
        <v>2</v>
      </c>
      <c r="AE228" t="n">
        <v>5</v>
      </c>
      <c r="AF228" t="n">
        <v>0</v>
      </c>
      <c r="AG228" t="n">
        <v>1</v>
      </c>
      <c r="AH228" t="n">
        <v>0</v>
      </c>
      <c r="AI228" t="n">
        <v>1</v>
      </c>
      <c r="AJ228" t="n">
        <v>1</v>
      </c>
      <c r="AK228" t="n">
        <v>2</v>
      </c>
      <c r="AL228" t="n">
        <v>1</v>
      </c>
      <c r="AM228" t="n">
        <v>2</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HYPERLINK("https://creighton-primo.hosted.exlibrisgroup.com/primo-explore/search?tab=default_tab&amp;search_scope=EVERYTHING&amp;vid=01CRU&amp;lang=en_US&amp;offset=0&amp;query=any,contains,991001409099702656","Catalog Record")</f>
        <v/>
      </c>
      <c r="AT228">
        <f>HYPERLINK("http://www.worldcat.org/oclc/37480679","WorldCat Record")</f>
        <v/>
      </c>
      <c r="AU228" t="inlineStr">
        <is>
          <t>766881767:eng</t>
        </is>
      </c>
      <c r="AV228" t="inlineStr">
        <is>
          <t>37480679</t>
        </is>
      </c>
      <c r="AW228" t="inlineStr">
        <is>
          <t>991001409099702656</t>
        </is>
      </c>
      <c r="AX228" t="inlineStr">
        <is>
          <t>991001409099702656</t>
        </is>
      </c>
      <c r="AY228" t="inlineStr">
        <is>
          <t>2268113380002656</t>
        </is>
      </c>
      <c r="AZ228" t="inlineStr">
        <is>
          <t>BOOK</t>
        </is>
      </c>
      <c r="BB228" t="inlineStr">
        <is>
          <t>9780896033924</t>
        </is>
      </c>
      <c r="BC228" t="inlineStr">
        <is>
          <t>30001003830306</t>
        </is>
      </c>
      <c r="BD228" t="inlineStr">
        <is>
          <t>893816365</t>
        </is>
      </c>
    </row>
    <row r="229">
      <c r="A229" t="inlineStr">
        <is>
          <t>No</t>
        </is>
      </c>
      <c r="B229" t="inlineStr">
        <is>
          <t>QU 68 DE998K 1984</t>
        </is>
      </c>
      <c r="C229" t="inlineStr">
        <is>
          <t>0                      QU 0068000DE 998K        1984</t>
        </is>
      </c>
      <c r="D229" t="inlineStr">
        <is>
          <t>Opioid peptides in the periphery : proceedings of the International Symposium on Opioid Peptides in Periphery under the patronage of the Italian National Council of Research held in Rome, Italy, on May 23-25, 1984 / edited by Franco Fraioli, Aldo Isidori, Mario Mazzetti.</t>
        </is>
      </c>
      <c r="F229" t="inlineStr">
        <is>
          <t>No</t>
        </is>
      </c>
      <c r="G229" t="inlineStr">
        <is>
          <t>1</t>
        </is>
      </c>
      <c r="H229" t="inlineStr">
        <is>
          <t>No</t>
        </is>
      </c>
      <c r="I229" t="inlineStr">
        <is>
          <t>No</t>
        </is>
      </c>
      <c r="J229" t="inlineStr">
        <is>
          <t>0</t>
        </is>
      </c>
      <c r="K229" t="inlineStr">
        <is>
          <t>International Symposium on Opioid Peptides in the Periphery (1984 : Rome, Italy)</t>
        </is>
      </c>
      <c r="L229" t="inlineStr">
        <is>
          <t>Amsterdam ; New York : Elsevier Science, c1984.</t>
        </is>
      </c>
      <c r="M229" t="inlineStr">
        <is>
          <t>1984</t>
        </is>
      </c>
      <c r="O229" t="inlineStr">
        <is>
          <t>eng</t>
        </is>
      </c>
      <c r="P229" t="inlineStr">
        <is>
          <t xml:space="preserve">ne </t>
        </is>
      </c>
      <c r="Q229" t="inlineStr">
        <is>
          <t>Developments in neuroscience ; v. 18</t>
        </is>
      </c>
      <c r="R229" t="inlineStr">
        <is>
          <t xml:space="preserve">QU </t>
        </is>
      </c>
      <c r="S229" t="n">
        <v>5</v>
      </c>
      <c r="T229" t="n">
        <v>5</v>
      </c>
      <c r="U229" t="inlineStr">
        <is>
          <t>1988-11-23</t>
        </is>
      </c>
      <c r="V229" t="inlineStr">
        <is>
          <t>1988-11-23</t>
        </is>
      </c>
      <c r="W229" t="inlineStr">
        <is>
          <t>1988-01-28</t>
        </is>
      </c>
      <c r="X229" t="inlineStr">
        <is>
          <t>1988-01-28</t>
        </is>
      </c>
      <c r="Y229" t="n">
        <v>117</v>
      </c>
      <c r="Z229" t="n">
        <v>92</v>
      </c>
      <c r="AA229" t="n">
        <v>94</v>
      </c>
      <c r="AB229" t="n">
        <v>2</v>
      </c>
      <c r="AC229" t="n">
        <v>2</v>
      </c>
      <c r="AD229" t="n">
        <v>1</v>
      </c>
      <c r="AE229" t="n">
        <v>1</v>
      </c>
      <c r="AF229" t="n">
        <v>0</v>
      </c>
      <c r="AG229" t="n">
        <v>0</v>
      </c>
      <c r="AH229" t="n">
        <v>0</v>
      </c>
      <c r="AI229" t="n">
        <v>0</v>
      </c>
      <c r="AJ229" t="n">
        <v>0</v>
      </c>
      <c r="AK229" t="n">
        <v>0</v>
      </c>
      <c r="AL229" t="n">
        <v>1</v>
      </c>
      <c r="AM229" t="n">
        <v>1</v>
      </c>
      <c r="AN229" t="n">
        <v>0</v>
      </c>
      <c r="AO229" t="n">
        <v>0</v>
      </c>
      <c r="AP229" t="inlineStr">
        <is>
          <t>No</t>
        </is>
      </c>
      <c r="AQ229" t="inlineStr">
        <is>
          <t>Yes</t>
        </is>
      </c>
      <c r="AR229">
        <f>HYPERLINK("http://catalog.hathitrust.org/Record/000460999","HathiTrust Record")</f>
        <v/>
      </c>
      <c r="AS229">
        <f>HYPERLINK("https://creighton-primo.hosted.exlibrisgroup.com/primo-explore/search?tab=default_tab&amp;search_scope=EVERYTHING&amp;vid=01CRU&amp;lang=en_US&amp;offset=0&amp;query=any,contains,991000898519702656","Catalog Record")</f>
        <v/>
      </c>
      <c r="AT229">
        <f>HYPERLINK("http://www.worldcat.org/oclc/11187843","WorldCat Record")</f>
        <v/>
      </c>
      <c r="AU229" t="inlineStr">
        <is>
          <t>4167168:eng</t>
        </is>
      </c>
      <c r="AV229" t="inlineStr">
        <is>
          <t>11187843</t>
        </is>
      </c>
      <c r="AW229" t="inlineStr">
        <is>
          <t>991000898519702656</t>
        </is>
      </c>
      <c r="AX229" t="inlineStr">
        <is>
          <t>991000898519702656</t>
        </is>
      </c>
      <c r="AY229" t="inlineStr">
        <is>
          <t>2263155350002656</t>
        </is>
      </c>
      <c r="AZ229" t="inlineStr">
        <is>
          <t>BOOK</t>
        </is>
      </c>
      <c r="BB229" t="inlineStr">
        <is>
          <t>9780444806246</t>
        </is>
      </c>
      <c r="BC229" t="inlineStr">
        <is>
          <t>30001000158990</t>
        </is>
      </c>
      <c r="BD229" t="inlineStr">
        <is>
          <t>893363512</t>
        </is>
      </c>
    </row>
    <row r="230">
      <c r="A230" t="inlineStr">
        <is>
          <t>No</t>
        </is>
      </c>
      <c r="B230" t="inlineStr">
        <is>
          <t>QU 68 E89p 1988</t>
        </is>
      </c>
      <c r="C230" t="inlineStr">
        <is>
          <t>0                      QU 0068000E  89p         1988</t>
        </is>
      </c>
      <c r="D230" t="inlineStr">
        <is>
          <t>Peptides 1988 : proceedings of the 20th European Peptide Symposium, University of Tübingen, Tübingen, FRG, September 4-9, 1988 / editors, Günther Jung, Ernst Bayer.</t>
        </is>
      </c>
      <c r="F230" t="inlineStr">
        <is>
          <t>No</t>
        </is>
      </c>
      <c r="G230" t="inlineStr">
        <is>
          <t>1</t>
        </is>
      </c>
      <c r="H230" t="inlineStr">
        <is>
          <t>No</t>
        </is>
      </c>
      <c r="I230" t="inlineStr">
        <is>
          <t>No</t>
        </is>
      </c>
      <c r="J230" t="inlineStr">
        <is>
          <t>0</t>
        </is>
      </c>
      <c r="K230" t="inlineStr">
        <is>
          <t>European Peptide Symposium (20th : 1988 : University of Tübingen)</t>
        </is>
      </c>
      <c r="L230" t="inlineStr">
        <is>
          <t>New York : W. de Gruyter, c1988.</t>
        </is>
      </c>
      <c r="M230" t="inlineStr">
        <is>
          <t>1988</t>
        </is>
      </c>
      <c r="O230" t="inlineStr">
        <is>
          <t>eng</t>
        </is>
      </c>
      <c r="P230" t="inlineStr">
        <is>
          <t>nyu</t>
        </is>
      </c>
      <c r="R230" t="inlineStr">
        <is>
          <t xml:space="preserve">QU </t>
        </is>
      </c>
      <c r="S230" t="n">
        <v>12</v>
      </c>
      <c r="T230" t="n">
        <v>12</v>
      </c>
      <c r="U230" t="inlineStr">
        <is>
          <t>1989-09-12</t>
        </is>
      </c>
      <c r="V230" t="inlineStr">
        <is>
          <t>1989-09-12</t>
        </is>
      </c>
      <c r="W230" t="inlineStr">
        <is>
          <t>1989-07-29</t>
        </is>
      </c>
      <c r="X230" t="inlineStr">
        <is>
          <t>1989-07-29</t>
        </is>
      </c>
      <c r="Y230" t="n">
        <v>60</v>
      </c>
      <c r="Z230" t="n">
        <v>45</v>
      </c>
      <c r="AA230" t="n">
        <v>57</v>
      </c>
      <c r="AB230" t="n">
        <v>2</v>
      </c>
      <c r="AC230" t="n">
        <v>2</v>
      </c>
      <c r="AD230" t="n">
        <v>2</v>
      </c>
      <c r="AE230" t="n">
        <v>2</v>
      </c>
      <c r="AF230" t="n">
        <v>0</v>
      </c>
      <c r="AG230" t="n">
        <v>0</v>
      </c>
      <c r="AH230" t="n">
        <v>1</v>
      </c>
      <c r="AI230" t="n">
        <v>1</v>
      </c>
      <c r="AJ230" t="n">
        <v>0</v>
      </c>
      <c r="AK230" t="n">
        <v>0</v>
      </c>
      <c r="AL230" t="n">
        <v>1</v>
      </c>
      <c r="AM230" t="n">
        <v>1</v>
      </c>
      <c r="AN230" t="n">
        <v>0</v>
      </c>
      <c r="AO230" t="n">
        <v>0</v>
      </c>
      <c r="AP230" t="inlineStr">
        <is>
          <t>No</t>
        </is>
      </c>
      <c r="AQ230" t="inlineStr">
        <is>
          <t>Yes</t>
        </is>
      </c>
      <c r="AR230">
        <f>HYPERLINK("http://catalog.hathitrust.org/Record/001536682","HathiTrust Record")</f>
        <v/>
      </c>
      <c r="AS230">
        <f>HYPERLINK("https://creighton-primo.hosted.exlibrisgroup.com/primo-explore/search?tab=default_tab&amp;search_scope=EVERYTHING&amp;vid=01CRU&amp;lang=en_US&amp;offset=0&amp;query=any,contains,991001254979702656","Catalog Record")</f>
        <v/>
      </c>
      <c r="AT230">
        <f>HYPERLINK("http://www.worldcat.org/oclc/19352703","WorldCat Record")</f>
        <v/>
      </c>
      <c r="AU230" t="inlineStr">
        <is>
          <t>21125635:eng</t>
        </is>
      </c>
      <c r="AV230" t="inlineStr">
        <is>
          <t>19352703</t>
        </is>
      </c>
      <c r="AW230" t="inlineStr">
        <is>
          <t>991001254979702656</t>
        </is>
      </c>
      <c r="AX230" t="inlineStr">
        <is>
          <t>991001254979702656</t>
        </is>
      </c>
      <c r="AY230" t="inlineStr">
        <is>
          <t>2269525320002656</t>
        </is>
      </c>
      <c r="AZ230" t="inlineStr">
        <is>
          <t>BOOK</t>
        </is>
      </c>
      <c r="BB230" t="inlineStr">
        <is>
          <t>9780899255941</t>
        </is>
      </c>
      <c r="BC230" t="inlineStr">
        <is>
          <t>30001001680000</t>
        </is>
      </c>
      <c r="BD230" t="inlineStr">
        <is>
          <t>893450984</t>
        </is>
      </c>
    </row>
    <row r="231">
      <c r="A231" t="inlineStr">
        <is>
          <t>No</t>
        </is>
      </c>
      <c r="B231" t="inlineStr">
        <is>
          <t>QU 68 F249c 1989</t>
        </is>
      </c>
      <c r="C231" t="inlineStr">
        <is>
          <t>0                      QU 0068000F  249c        1989</t>
        </is>
      </c>
      <c r="D231" t="inlineStr">
        <is>
          <t>Computer-assisted design of anti-peptides based on the amino acid sequence of a target peptide / Georgio Fassina, Arthur D. Olson.</t>
        </is>
      </c>
      <c r="F231" t="inlineStr">
        <is>
          <t>No</t>
        </is>
      </c>
      <c r="G231" t="inlineStr">
        <is>
          <t>1</t>
        </is>
      </c>
      <c r="H231" t="inlineStr">
        <is>
          <t>No</t>
        </is>
      </c>
      <c r="I231" t="inlineStr">
        <is>
          <t>No</t>
        </is>
      </c>
      <c r="J231" t="inlineStr">
        <is>
          <t>0</t>
        </is>
      </c>
      <c r="K231" t="inlineStr">
        <is>
          <t>Fassina, Georgio.</t>
        </is>
      </c>
      <c r="L231" t="inlineStr">
        <is>
          <t>Washington, D.C. : (U.S.) Department of Health and Human Services, available from the National Technical Information Service, Springfield, VA., 1989.</t>
        </is>
      </c>
      <c r="M231" t="inlineStr">
        <is>
          <t>1989</t>
        </is>
      </c>
      <c r="O231" t="inlineStr">
        <is>
          <t>eng</t>
        </is>
      </c>
      <c r="P231" t="inlineStr">
        <is>
          <t>dcu</t>
        </is>
      </c>
      <c r="R231" t="inlineStr">
        <is>
          <t xml:space="preserve">QU </t>
        </is>
      </c>
      <c r="S231" t="n">
        <v>2</v>
      </c>
      <c r="T231" t="n">
        <v>2</v>
      </c>
      <c r="U231" t="inlineStr">
        <is>
          <t>1990-10-02</t>
        </is>
      </c>
      <c r="V231" t="inlineStr">
        <is>
          <t>1990-10-02</t>
        </is>
      </c>
      <c r="W231" t="inlineStr">
        <is>
          <t>1990-08-31</t>
        </is>
      </c>
      <c r="X231" t="inlineStr">
        <is>
          <t>1990-08-31</t>
        </is>
      </c>
      <c r="Y231" t="n">
        <v>1</v>
      </c>
      <c r="Z231" t="n">
        <v>1</v>
      </c>
      <c r="AA231" t="n">
        <v>1</v>
      </c>
      <c r="AB231" t="n">
        <v>1</v>
      </c>
      <c r="AC231" t="n">
        <v>1</v>
      </c>
      <c r="AD231" t="n">
        <v>0</v>
      </c>
      <c r="AE231" t="n">
        <v>0</v>
      </c>
      <c r="AF231" t="n">
        <v>0</v>
      </c>
      <c r="AG231" t="n">
        <v>0</v>
      </c>
      <c r="AH231" t="n">
        <v>0</v>
      </c>
      <c r="AI231" t="n">
        <v>0</v>
      </c>
      <c r="AJ231" t="n">
        <v>0</v>
      </c>
      <c r="AK231" t="n">
        <v>0</v>
      </c>
      <c r="AL231" t="n">
        <v>0</v>
      </c>
      <c r="AM231" t="n">
        <v>0</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HYPERLINK("https://creighton-primo.hosted.exlibrisgroup.com/primo-explore/search?tab=default_tab&amp;search_scope=EVERYTHING&amp;vid=01CRU&amp;lang=en_US&amp;offset=0&amp;query=any,contains,991001453039702656","Catalog Record")</f>
        <v/>
      </c>
      <c r="AT231">
        <f>HYPERLINK("http://www.worldcat.org/oclc/23717622","WorldCat Record")</f>
        <v/>
      </c>
      <c r="AU231" t="inlineStr">
        <is>
          <t>25051887:eng</t>
        </is>
      </c>
      <c r="AV231" t="inlineStr">
        <is>
          <t>23717622</t>
        </is>
      </c>
      <c r="AW231" t="inlineStr">
        <is>
          <t>991001453039702656</t>
        </is>
      </c>
      <c r="AX231" t="inlineStr">
        <is>
          <t>991001453039702656</t>
        </is>
      </c>
      <c r="AY231" t="inlineStr">
        <is>
          <t>2259419550002656</t>
        </is>
      </c>
      <c r="AZ231" t="inlineStr">
        <is>
          <t>BOOK</t>
        </is>
      </c>
      <c r="BC231" t="inlineStr">
        <is>
          <t>30001001883877</t>
        </is>
      </c>
      <c r="BD231" t="inlineStr">
        <is>
          <t>893552522</t>
        </is>
      </c>
    </row>
    <row r="232">
      <c r="A232" t="inlineStr">
        <is>
          <t>No</t>
        </is>
      </c>
      <c r="B232" t="inlineStr">
        <is>
          <t>QU 68 F745s 1988</t>
        </is>
      </c>
      <c r="C232" t="inlineStr">
        <is>
          <t>0                      QU 0068000F  745s        1988</t>
        </is>
      </c>
      <c r="D232" t="inlineStr">
        <is>
          <t>Second forum on Peptides / edited by A. Aubry, M. Marraud and B. Vitoux.</t>
        </is>
      </c>
      <c r="F232" t="inlineStr">
        <is>
          <t>No</t>
        </is>
      </c>
      <c r="G232" t="inlineStr">
        <is>
          <t>1</t>
        </is>
      </c>
      <c r="H232" t="inlineStr">
        <is>
          <t>No</t>
        </is>
      </c>
      <c r="I232" t="inlineStr">
        <is>
          <t>No</t>
        </is>
      </c>
      <c r="J232" t="inlineStr">
        <is>
          <t>0</t>
        </is>
      </c>
      <c r="K232" t="inlineStr">
        <is>
          <t>Forum on Peptides (2nd : 1988 : Nancy, France)</t>
        </is>
      </c>
      <c r="L232" t="inlineStr">
        <is>
          <t>London ; Paris : INSERM, c1989.</t>
        </is>
      </c>
      <c r="M232" t="inlineStr">
        <is>
          <t>1989</t>
        </is>
      </c>
      <c r="O232" t="inlineStr">
        <is>
          <t>eng</t>
        </is>
      </c>
      <c r="P232" t="inlineStr">
        <is>
          <t>enk</t>
        </is>
      </c>
      <c r="R232" t="inlineStr">
        <is>
          <t xml:space="preserve">QU </t>
        </is>
      </c>
      <c r="S232" t="n">
        <v>7</v>
      </c>
      <c r="T232" t="n">
        <v>7</v>
      </c>
      <c r="U232" t="inlineStr">
        <is>
          <t>1990-01-17</t>
        </is>
      </c>
      <c r="V232" t="inlineStr">
        <is>
          <t>1990-01-17</t>
        </is>
      </c>
      <c r="W232" t="inlineStr">
        <is>
          <t>1989-06-27</t>
        </is>
      </c>
      <c r="X232" t="inlineStr">
        <is>
          <t>1989-06-27</t>
        </is>
      </c>
      <c r="Y232" t="n">
        <v>20</v>
      </c>
      <c r="Z232" t="n">
        <v>13</v>
      </c>
      <c r="AA232" t="n">
        <v>13</v>
      </c>
      <c r="AB232" t="n">
        <v>1</v>
      </c>
      <c r="AC232" t="n">
        <v>1</v>
      </c>
      <c r="AD232" t="n">
        <v>0</v>
      </c>
      <c r="AE232" t="n">
        <v>0</v>
      </c>
      <c r="AF232" t="n">
        <v>0</v>
      </c>
      <c r="AG232" t="n">
        <v>0</v>
      </c>
      <c r="AH232" t="n">
        <v>0</v>
      </c>
      <c r="AI232" t="n">
        <v>0</v>
      </c>
      <c r="AJ232" t="n">
        <v>0</v>
      </c>
      <c r="AK232" t="n">
        <v>0</v>
      </c>
      <c r="AL232" t="n">
        <v>0</v>
      </c>
      <c r="AM232" t="n">
        <v>0</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HYPERLINK("https://creighton-primo.hosted.exlibrisgroup.com/primo-explore/search?tab=default_tab&amp;search_scope=EVERYTHING&amp;vid=01CRU&amp;lang=en_US&amp;offset=0&amp;query=any,contains,991001251749702656","Catalog Record")</f>
        <v/>
      </c>
      <c r="AT232">
        <f>HYPERLINK("http://www.worldcat.org/oclc/19263888","WorldCat Record")</f>
        <v/>
      </c>
      <c r="AU232" t="inlineStr">
        <is>
          <t>8907470633:eng</t>
        </is>
      </c>
      <c r="AV232" t="inlineStr">
        <is>
          <t>19263888</t>
        </is>
      </c>
      <c r="AW232" t="inlineStr">
        <is>
          <t>991001251749702656</t>
        </is>
      </c>
      <c r="AX232" t="inlineStr">
        <is>
          <t>991001251749702656</t>
        </is>
      </c>
      <c r="AY232" t="inlineStr">
        <is>
          <t>2266059420002656</t>
        </is>
      </c>
      <c r="AZ232" t="inlineStr">
        <is>
          <t>BOOK</t>
        </is>
      </c>
      <c r="BB232" t="inlineStr">
        <is>
          <t>9780861961511</t>
        </is>
      </c>
      <c r="BC232" t="inlineStr">
        <is>
          <t>30001001679101</t>
        </is>
      </c>
      <c r="BD232" t="inlineStr">
        <is>
          <t>893369261</t>
        </is>
      </c>
    </row>
    <row r="233">
      <c r="A233" t="inlineStr">
        <is>
          <t>No</t>
        </is>
      </c>
      <c r="B233" t="inlineStr">
        <is>
          <t>QU 68 M174 1988</t>
        </is>
      </c>
      <c r="C233" t="inlineStr">
        <is>
          <t>0                      QU 0068000M  174         1988</t>
        </is>
      </c>
      <c r="D233" t="inlineStr">
        <is>
          <t>Macromolecular sequencing and synthesis : selected methods and applications / editor, David H. Schlesinger.</t>
        </is>
      </c>
      <c r="F233" t="inlineStr">
        <is>
          <t>No</t>
        </is>
      </c>
      <c r="G233" t="inlineStr">
        <is>
          <t>1</t>
        </is>
      </c>
      <c r="H233" t="inlineStr">
        <is>
          <t>No</t>
        </is>
      </c>
      <c r="I233" t="inlineStr">
        <is>
          <t>No</t>
        </is>
      </c>
      <c r="J233" t="inlineStr">
        <is>
          <t>0</t>
        </is>
      </c>
      <c r="L233" t="inlineStr">
        <is>
          <t>New York : Liss, c1988.</t>
        </is>
      </c>
      <c r="M233" t="inlineStr">
        <is>
          <t>1988</t>
        </is>
      </c>
      <c r="O233" t="inlineStr">
        <is>
          <t>eng</t>
        </is>
      </c>
      <c r="P233" t="inlineStr">
        <is>
          <t>xxu</t>
        </is>
      </c>
      <c r="R233" t="inlineStr">
        <is>
          <t xml:space="preserve">QU </t>
        </is>
      </c>
      <c r="S233" t="n">
        <v>2</v>
      </c>
      <c r="T233" t="n">
        <v>2</v>
      </c>
      <c r="U233" t="inlineStr">
        <is>
          <t>1999-09-08</t>
        </is>
      </c>
      <c r="V233" t="inlineStr">
        <is>
          <t>1999-09-08</t>
        </is>
      </c>
      <c r="W233" t="inlineStr">
        <is>
          <t>1988-07-08</t>
        </is>
      </c>
      <c r="X233" t="inlineStr">
        <is>
          <t>1988-07-08</t>
        </is>
      </c>
      <c r="Y233" t="n">
        <v>229</v>
      </c>
      <c r="Z233" t="n">
        <v>180</v>
      </c>
      <c r="AA233" t="n">
        <v>187</v>
      </c>
      <c r="AB233" t="n">
        <v>3</v>
      </c>
      <c r="AC233" t="n">
        <v>3</v>
      </c>
      <c r="AD233" t="n">
        <v>8</v>
      </c>
      <c r="AE233" t="n">
        <v>8</v>
      </c>
      <c r="AF233" t="n">
        <v>1</v>
      </c>
      <c r="AG233" t="n">
        <v>1</v>
      </c>
      <c r="AH233" t="n">
        <v>3</v>
      </c>
      <c r="AI233" t="n">
        <v>3</v>
      </c>
      <c r="AJ233" t="n">
        <v>4</v>
      </c>
      <c r="AK233" t="n">
        <v>4</v>
      </c>
      <c r="AL233" t="n">
        <v>2</v>
      </c>
      <c r="AM233" t="n">
        <v>2</v>
      </c>
      <c r="AN233" t="n">
        <v>0</v>
      </c>
      <c r="AO233" t="n">
        <v>0</v>
      </c>
      <c r="AP233" t="inlineStr">
        <is>
          <t>No</t>
        </is>
      </c>
      <c r="AQ233" t="inlineStr">
        <is>
          <t>Yes</t>
        </is>
      </c>
      <c r="AR233">
        <f>HYPERLINK("http://catalog.hathitrust.org/Record/000846704","HathiTrust Record")</f>
        <v/>
      </c>
      <c r="AS233">
        <f>HYPERLINK("https://creighton-primo.hosted.exlibrisgroup.com/primo-explore/search?tab=default_tab&amp;search_scope=EVERYTHING&amp;vid=01CRU&amp;lang=en_US&amp;offset=0&amp;query=any,contains,991001418219702656","Catalog Record")</f>
        <v/>
      </c>
      <c r="AT233">
        <f>HYPERLINK("http://www.worldcat.org/oclc/17233889","WorldCat Record")</f>
        <v/>
      </c>
      <c r="AU233" t="inlineStr">
        <is>
          <t>890236819:eng</t>
        </is>
      </c>
      <c r="AV233" t="inlineStr">
        <is>
          <t>17233889</t>
        </is>
      </c>
      <c r="AW233" t="inlineStr">
        <is>
          <t>991001418219702656</t>
        </is>
      </c>
      <c r="AX233" t="inlineStr">
        <is>
          <t>991001418219702656</t>
        </is>
      </c>
      <c r="AY233" t="inlineStr">
        <is>
          <t>2272749620002656</t>
        </is>
      </c>
      <c r="AZ233" t="inlineStr">
        <is>
          <t>BOOK</t>
        </is>
      </c>
      <c r="BB233" t="inlineStr">
        <is>
          <t>9780845142462</t>
        </is>
      </c>
      <c r="BC233" t="inlineStr">
        <is>
          <t>30001001181371</t>
        </is>
      </c>
      <c r="BD233" t="inlineStr">
        <is>
          <t>893633043</t>
        </is>
      </c>
    </row>
    <row r="234">
      <c r="A234" t="inlineStr">
        <is>
          <t>No</t>
        </is>
      </c>
      <c r="B234" t="inlineStr">
        <is>
          <t>QU 68 P422 1991</t>
        </is>
      </c>
      <c r="C234" t="inlineStr">
        <is>
          <t>0                      QU 0068000P  422         1991</t>
        </is>
      </c>
      <c r="D234" t="inlineStr">
        <is>
          <t>Peptide biosynthesis and processing / edited by Lloyd D. Fricker.</t>
        </is>
      </c>
      <c r="F234" t="inlineStr">
        <is>
          <t>No</t>
        </is>
      </c>
      <c r="G234" t="inlineStr">
        <is>
          <t>1</t>
        </is>
      </c>
      <c r="H234" t="inlineStr">
        <is>
          <t>No</t>
        </is>
      </c>
      <c r="I234" t="inlineStr">
        <is>
          <t>No</t>
        </is>
      </c>
      <c r="J234" t="inlineStr">
        <is>
          <t>0</t>
        </is>
      </c>
      <c r="L234" t="inlineStr">
        <is>
          <t>Boca Raton : CRC Press, c1991.</t>
        </is>
      </c>
      <c r="M234" t="inlineStr">
        <is>
          <t>1991</t>
        </is>
      </c>
      <c r="O234" t="inlineStr">
        <is>
          <t>eng</t>
        </is>
      </c>
      <c r="P234" t="inlineStr">
        <is>
          <t>xxu</t>
        </is>
      </c>
      <c r="R234" t="inlineStr">
        <is>
          <t xml:space="preserve">QU </t>
        </is>
      </c>
      <c r="S234" t="n">
        <v>8</v>
      </c>
      <c r="T234" t="n">
        <v>8</v>
      </c>
      <c r="U234" t="inlineStr">
        <is>
          <t>2001-12-18</t>
        </is>
      </c>
      <c r="V234" t="inlineStr">
        <is>
          <t>2001-12-18</t>
        </is>
      </c>
      <c r="W234" t="inlineStr">
        <is>
          <t>1991-09-13</t>
        </is>
      </c>
      <c r="X234" t="inlineStr">
        <is>
          <t>1991-09-13</t>
        </is>
      </c>
      <c r="Y234" t="n">
        <v>131</v>
      </c>
      <c r="Z234" t="n">
        <v>102</v>
      </c>
      <c r="AA234" t="n">
        <v>107</v>
      </c>
      <c r="AB234" t="n">
        <v>1</v>
      </c>
      <c r="AC234" t="n">
        <v>1</v>
      </c>
      <c r="AD234" t="n">
        <v>4</v>
      </c>
      <c r="AE234" t="n">
        <v>4</v>
      </c>
      <c r="AF234" t="n">
        <v>1</v>
      </c>
      <c r="AG234" t="n">
        <v>1</v>
      </c>
      <c r="AH234" t="n">
        <v>2</v>
      </c>
      <c r="AI234" t="n">
        <v>2</v>
      </c>
      <c r="AJ234" t="n">
        <v>3</v>
      </c>
      <c r="AK234" t="n">
        <v>3</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HYPERLINK("https://creighton-primo.hosted.exlibrisgroup.com/primo-explore/search?tab=default_tab&amp;search_scope=EVERYTHING&amp;vid=01CRU&amp;lang=en_US&amp;offset=0&amp;query=any,contains,991001014339702656","Catalog Record")</f>
        <v/>
      </c>
      <c r="AT234">
        <f>HYPERLINK("http://www.worldcat.org/oclc/23216592","WorldCat Record")</f>
        <v/>
      </c>
      <c r="AU234" t="inlineStr">
        <is>
          <t>24965715:eng</t>
        </is>
      </c>
      <c r="AV234" t="inlineStr">
        <is>
          <t>23216592</t>
        </is>
      </c>
      <c r="AW234" t="inlineStr">
        <is>
          <t>991001014339702656</t>
        </is>
      </c>
      <c r="AX234" t="inlineStr">
        <is>
          <t>991001014339702656</t>
        </is>
      </c>
      <c r="AY234" t="inlineStr">
        <is>
          <t>2261846890002656</t>
        </is>
      </c>
      <c r="AZ234" t="inlineStr">
        <is>
          <t>BOOK</t>
        </is>
      </c>
      <c r="BB234" t="inlineStr">
        <is>
          <t>9780849388521</t>
        </is>
      </c>
      <c r="BC234" t="inlineStr">
        <is>
          <t>30001002240440</t>
        </is>
      </c>
      <c r="BD234" t="inlineStr">
        <is>
          <t>893648834</t>
        </is>
      </c>
    </row>
    <row r="235">
      <c r="A235" t="inlineStr">
        <is>
          <t>No</t>
        </is>
      </c>
      <c r="B235" t="inlineStr">
        <is>
          <t>QU 68 P42335 2008</t>
        </is>
      </c>
      <c r="C235" t="inlineStr">
        <is>
          <t>0                      QU 0068000P  42335       2008</t>
        </is>
      </c>
      <c r="D235" t="inlineStr">
        <is>
          <t>Peptide-based drug design / edited by Laszlo Otvos.</t>
        </is>
      </c>
      <c r="F235" t="inlineStr">
        <is>
          <t>No</t>
        </is>
      </c>
      <c r="G235" t="inlineStr">
        <is>
          <t>1</t>
        </is>
      </c>
      <c r="H235" t="inlineStr">
        <is>
          <t>Yes</t>
        </is>
      </c>
      <c r="I235" t="inlineStr">
        <is>
          <t>No</t>
        </is>
      </c>
      <c r="J235" t="inlineStr">
        <is>
          <t>0</t>
        </is>
      </c>
      <c r="L235" t="inlineStr">
        <is>
          <t>Totowa, NJ : Humana, c2008.</t>
        </is>
      </c>
      <c r="M235" t="inlineStr">
        <is>
          <t>2008</t>
        </is>
      </c>
      <c r="O235" t="inlineStr">
        <is>
          <t>eng</t>
        </is>
      </c>
      <c r="P235" t="inlineStr">
        <is>
          <t>nju</t>
        </is>
      </c>
      <c r="Q235" t="inlineStr">
        <is>
          <t>Methods in molecular biology ; 494</t>
        </is>
      </c>
      <c r="R235" t="inlineStr">
        <is>
          <t xml:space="preserve">QU </t>
        </is>
      </c>
      <c r="S235" t="n">
        <v>0</v>
      </c>
      <c r="T235" t="n">
        <v>0</v>
      </c>
      <c r="U235" t="inlineStr">
        <is>
          <t>2009-05-05</t>
        </is>
      </c>
      <c r="V235" t="inlineStr">
        <is>
          <t>2009-05-05</t>
        </is>
      </c>
      <c r="W235" t="inlineStr">
        <is>
          <t>2009-03-03</t>
        </is>
      </c>
      <c r="X235" t="inlineStr">
        <is>
          <t>2009-03-03</t>
        </is>
      </c>
      <c r="Y235" t="n">
        <v>125</v>
      </c>
      <c r="Z235" t="n">
        <v>90</v>
      </c>
      <c r="AA235" t="n">
        <v>145</v>
      </c>
      <c r="AB235" t="n">
        <v>1</v>
      </c>
      <c r="AC235" t="n">
        <v>3</v>
      </c>
      <c r="AD235" t="n">
        <v>3</v>
      </c>
      <c r="AE235" t="n">
        <v>6</v>
      </c>
      <c r="AF235" t="n">
        <v>1</v>
      </c>
      <c r="AG235" t="n">
        <v>2</v>
      </c>
      <c r="AH235" t="n">
        <v>1</v>
      </c>
      <c r="AI235" t="n">
        <v>1</v>
      </c>
      <c r="AJ235" t="n">
        <v>2</v>
      </c>
      <c r="AK235" t="n">
        <v>2</v>
      </c>
      <c r="AL235" t="n">
        <v>0</v>
      </c>
      <c r="AM235" t="n">
        <v>2</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HYPERLINK("https://creighton-primo.hosted.exlibrisgroup.com/primo-explore/search?tab=default_tab&amp;search_scope=EVERYTHING&amp;vid=01CRU&amp;lang=en_US&amp;offset=0&amp;query=any,contains,991001369789702656","Catalog Record")</f>
        <v/>
      </c>
      <c r="AT235">
        <f>HYPERLINK("http://www.worldcat.org/oclc/227032711","WorldCat Record")</f>
        <v/>
      </c>
      <c r="AU235" t="inlineStr">
        <is>
          <t>136804046:eng</t>
        </is>
      </c>
      <c r="AV235" t="inlineStr">
        <is>
          <t>227032711</t>
        </is>
      </c>
      <c r="AW235" t="inlineStr">
        <is>
          <t>991001369789702656</t>
        </is>
      </c>
      <c r="AX235" t="inlineStr">
        <is>
          <t>991001369789702656</t>
        </is>
      </c>
      <c r="AY235" t="inlineStr">
        <is>
          <t>2263309870002656</t>
        </is>
      </c>
      <c r="AZ235" t="inlineStr">
        <is>
          <t>BOOK</t>
        </is>
      </c>
      <c r="BB235" t="inlineStr">
        <is>
          <t>9781588299901</t>
        </is>
      </c>
      <c r="BC235" t="inlineStr">
        <is>
          <t>30001005379864</t>
        </is>
      </c>
      <c r="BD235" t="inlineStr">
        <is>
          <t>893279025</t>
        </is>
      </c>
    </row>
    <row r="236">
      <c r="A236" t="inlineStr">
        <is>
          <t>No</t>
        </is>
      </c>
      <c r="B236" t="inlineStr">
        <is>
          <t>QU 68 P42435 1994</t>
        </is>
      </c>
      <c r="C236" t="inlineStr">
        <is>
          <t>0                      QU 0068000P  42435       1994</t>
        </is>
      </c>
      <c r="D236" t="inlineStr">
        <is>
          <t>Peptides : design, synthesis, and biological activity / Channa Basava, G.M. Anantharamaiah, editors.</t>
        </is>
      </c>
      <c r="F236" t="inlineStr">
        <is>
          <t>No</t>
        </is>
      </c>
      <c r="G236" t="inlineStr">
        <is>
          <t>1</t>
        </is>
      </c>
      <c r="H236" t="inlineStr">
        <is>
          <t>No</t>
        </is>
      </c>
      <c r="I236" t="inlineStr">
        <is>
          <t>No</t>
        </is>
      </c>
      <c r="J236" t="inlineStr">
        <is>
          <t>0</t>
        </is>
      </c>
      <c r="L236" t="inlineStr">
        <is>
          <t>Boston : Birkhäuser, c1994.</t>
        </is>
      </c>
      <c r="M236" t="inlineStr">
        <is>
          <t>1994</t>
        </is>
      </c>
      <c r="O236" t="inlineStr">
        <is>
          <t>eng</t>
        </is>
      </c>
      <c r="P236" t="inlineStr">
        <is>
          <t>mau</t>
        </is>
      </c>
      <c r="R236" t="inlineStr">
        <is>
          <t xml:space="preserve">QU </t>
        </is>
      </c>
      <c r="S236" t="n">
        <v>9</v>
      </c>
      <c r="T236" t="n">
        <v>9</v>
      </c>
      <c r="U236" t="inlineStr">
        <is>
          <t>2009-05-29</t>
        </is>
      </c>
      <c r="V236" t="inlineStr">
        <is>
          <t>2009-05-29</t>
        </is>
      </c>
      <c r="W236" t="inlineStr">
        <is>
          <t>1998-02-05</t>
        </is>
      </c>
      <c r="X236" t="inlineStr">
        <is>
          <t>1998-02-05</t>
        </is>
      </c>
      <c r="Y236" t="n">
        <v>211</v>
      </c>
      <c r="Z236" t="n">
        <v>150</v>
      </c>
      <c r="AA236" t="n">
        <v>168</v>
      </c>
      <c r="AB236" t="n">
        <v>2</v>
      </c>
      <c r="AC236" t="n">
        <v>2</v>
      </c>
      <c r="AD236" t="n">
        <v>6</v>
      </c>
      <c r="AE236" t="n">
        <v>6</v>
      </c>
      <c r="AF236" t="n">
        <v>0</v>
      </c>
      <c r="AG236" t="n">
        <v>0</v>
      </c>
      <c r="AH236" t="n">
        <v>2</v>
      </c>
      <c r="AI236" t="n">
        <v>2</v>
      </c>
      <c r="AJ236" t="n">
        <v>4</v>
      </c>
      <c r="AK236" t="n">
        <v>4</v>
      </c>
      <c r="AL236" t="n">
        <v>1</v>
      </c>
      <c r="AM236" t="n">
        <v>1</v>
      </c>
      <c r="AN236" t="n">
        <v>0</v>
      </c>
      <c r="AO236" t="n">
        <v>0</v>
      </c>
      <c r="AP236" t="inlineStr">
        <is>
          <t>No</t>
        </is>
      </c>
      <c r="AQ236" t="inlineStr">
        <is>
          <t>Yes</t>
        </is>
      </c>
      <c r="AR236">
        <f>HYPERLINK("http://catalog.hathitrust.org/Record/002886426","HathiTrust Record")</f>
        <v/>
      </c>
      <c r="AS236">
        <f>HYPERLINK("https://creighton-primo.hosted.exlibrisgroup.com/primo-explore/search?tab=default_tab&amp;search_scope=EVERYTHING&amp;vid=01CRU&amp;lang=en_US&amp;offset=0&amp;query=any,contains,991000686179702656","Catalog Record")</f>
        <v/>
      </c>
      <c r="AT236">
        <f>HYPERLINK("http://www.worldcat.org/oclc/29029580","WorldCat Record")</f>
        <v/>
      </c>
      <c r="AU236" t="inlineStr">
        <is>
          <t>866854569:eng</t>
        </is>
      </c>
      <c r="AV236" t="inlineStr">
        <is>
          <t>29029580</t>
        </is>
      </c>
      <c r="AW236" t="inlineStr">
        <is>
          <t>991000686179702656</t>
        </is>
      </c>
      <c r="AX236" t="inlineStr">
        <is>
          <t>991000686179702656</t>
        </is>
      </c>
      <c r="AY236" t="inlineStr">
        <is>
          <t>2256122600002656</t>
        </is>
      </c>
      <c r="AZ236" t="inlineStr">
        <is>
          <t>BOOK</t>
        </is>
      </c>
      <c r="BB236" t="inlineStr">
        <is>
          <t>9780817637033</t>
        </is>
      </c>
      <c r="BC236" t="inlineStr">
        <is>
          <t>30001003742949</t>
        </is>
      </c>
      <c r="BD236" t="inlineStr">
        <is>
          <t>893450087</t>
        </is>
      </c>
    </row>
    <row r="237">
      <c r="A237" t="inlineStr">
        <is>
          <t>No</t>
        </is>
      </c>
      <c r="B237" t="inlineStr">
        <is>
          <t>QU 68 P425 1995</t>
        </is>
      </c>
      <c r="C237" t="inlineStr">
        <is>
          <t>0                      QU 0068000P  425         1995</t>
        </is>
      </c>
      <c r="D237" t="inlineStr">
        <is>
          <t>Peptides : synthesis, structures, and applications / edited by Bernd Gutte.</t>
        </is>
      </c>
      <c r="F237" t="inlineStr">
        <is>
          <t>No</t>
        </is>
      </c>
      <c r="G237" t="inlineStr">
        <is>
          <t>1</t>
        </is>
      </c>
      <c r="H237" t="inlineStr">
        <is>
          <t>No</t>
        </is>
      </c>
      <c r="I237" t="inlineStr">
        <is>
          <t>No</t>
        </is>
      </c>
      <c r="J237" t="inlineStr">
        <is>
          <t>0</t>
        </is>
      </c>
      <c r="L237" t="inlineStr">
        <is>
          <t>San Diego : Academic Press, c1995.</t>
        </is>
      </c>
      <c r="M237" t="inlineStr">
        <is>
          <t>1995</t>
        </is>
      </c>
      <c r="O237" t="inlineStr">
        <is>
          <t>eng</t>
        </is>
      </c>
      <c r="P237" t="inlineStr">
        <is>
          <t>cau</t>
        </is>
      </c>
      <c r="R237" t="inlineStr">
        <is>
          <t xml:space="preserve">QU </t>
        </is>
      </c>
      <c r="S237" t="n">
        <v>19</v>
      </c>
      <c r="T237" t="n">
        <v>19</v>
      </c>
      <c r="U237" t="inlineStr">
        <is>
          <t>2009-05-29</t>
        </is>
      </c>
      <c r="V237" t="inlineStr">
        <is>
          <t>2009-05-29</t>
        </is>
      </c>
      <c r="W237" t="inlineStr">
        <is>
          <t>1998-11-17</t>
        </is>
      </c>
      <c r="X237" t="inlineStr">
        <is>
          <t>1998-11-17</t>
        </is>
      </c>
      <c r="Y237" t="n">
        <v>266</v>
      </c>
      <c r="Z237" t="n">
        <v>195</v>
      </c>
      <c r="AA237" t="n">
        <v>298</v>
      </c>
      <c r="AB237" t="n">
        <v>2</v>
      </c>
      <c r="AC237" t="n">
        <v>3</v>
      </c>
      <c r="AD237" t="n">
        <v>10</v>
      </c>
      <c r="AE237" t="n">
        <v>13</v>
      </c>
      <c r="AF237" t="n">
        <v>1</v>
      </c>
      <c r="AG237" t="n">
        <v>3</v>
      </c>
      <c r="AH237" t="n">
        <v>3</v>
      </c>
      <c r="AI237" t="n">
        <v>4</v>
      </c>
      <c r="AJ237" t="n">
        <v>7</v>
      </c>
      <c r="AK237" t="n">
        <v>7</v>
      </c>
      <c r="AL237" t="n">
        <v>1</v>
      </c>
      <c r="AM237" t="n">
        <v>2</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HYPERLINK("https://creighton-primo.hosted.exlibrisgroup.com/primo-explore/search?tab=default_tab&amp;search_scope=EVERYTHING&amp;vid=01CRU&amp;lang=en_US&amp;offset=0&amp;query=any,contains,991000826189702656","Catalog Record")</f>
        <v/>
      </c>
      <c r="AT237">
        <f>HYPERLINK("http://www.worldcat.org/oclc/32348975","WorldCat Record")</f>
        <v/>
      </c>
      <c r="AU237" t="inlineStr">
        <is>
          <t>1010727920:eng</t>
        </is>
      </c>
      <c r="AV237" t="inlineStr">
        <is>
          <t>32348975</t>
        </is>
      </c>
      <c r="AW237" t="inlineStr">
        <is>
          <t>991000826189702656</t>
        </is>
      </c>
      <c r="AX237" t="inlineStr">
        <is>
          <t>991000826189702656</t>
        </is>
      </c>
      <c r="AY237" t="inlineStr">
        <is>
          <t>2261588750002656</t>
        </is>
      </c>
      <c r="AZ237" t="inlineStr">
        <is>
          <t>BOOK</t>
        </is>
      </c>
      <c r="BB237" t="inlineStr">
        <is>
          <t>9780123109200</t>
        </is>
      </c>
      <c r="BC237" t="inlineStr">
        <is>
          <t>30001004092799</t>
        </is>
      </c>
      <c r="BD237" t="inlineStr">
        <is>
          <t>893743506</t>
        </is>
      </c>
    </row>
    <row r="238">
      <c r="A238" t="inlineStr">
        <is>
          <t>No</t>
        </is>
      </c>
      <c r="B238" t="inlineStr">
        <is>
          <t>QU 68 P4256 1999</t>
        </is>
      </c>
      <c r="C238" t="inlineStr">
        <is>
          <t>0                      QU 0068000P  4256        1999</t>
        </is>
      </c>
      <c r="D238" t="inlineStr">
        <is>
          <t>Peptidomimetics protocols / edited by Wieslaw M. Kazmierski.</t>
        </is>
      </c>
      <c r="F238" t="inlineStr">
        <is>
          <t>No</t>
        </is>
      </c>
      <c r="G238" t="inlineStr">
        <is>
          <t>1</t>
        </is>
      </c>
      <c r="H238" t="inlineStr">
        <is>
          <t>No</t>
        </is>
      </c>
      <c r="I238" t="inlineStr">
        <is>
          <t>No</t>
        </is>
      </c>
      <c r="J238" t="inlineStr">
        <is>
          <t>0</t>
        </is>
      </c>
      <c r="L238" t="inlineStr">
        <is>
          <t>Totowa, NJ : Humana Press, c1998.</t>
        </is>
      </c>
      <c r="M238" t="inlineStr">
        <is>
          <t>1999</t>
        </is>
      </c>
      <c r="O238" t="inlineStr">
        <is>
          <t>eng</t>
        </is>
      </c>
      <c r="P238" t="inlineStr">
        <is>
          <t>nju</t>
        </is>
      </c>
      <c r="Q238" t="inlineStr">
        <is>
          <t>Methods in molecular medicine ; v. 23</t>
        </is>
      </c>
      <c r="R238" t="inlineStr">
        <is>
          <t xml:space="preserve">QU </t>
        </is>
      </c>
      <c r="S238" t="n">
        <v>3</v>
      </c>
      <c r="T238" t="n">
        <v>3</v>
      </c>
      <c r="U238" t="inlineStr">
        <is>
          <t>2000-05-09</t>
        </is>
      </c>
      <c r="V238" t="inlineStr">
        <is>
          <t>2000-05-09</t>
        </is>
      </c>
      <c r="W238" t="inlineStr">
        <is>
          <t>1998-12-17</t>
        </is>
      </c>
      <c r="X238" t="inlineStr">
        <is>
          <t>1998-12-17</t>
        </is>
      </c>
      <c r="Y238" t="n">
        <v>88</v>
      </c>
      <c r="Z238" t="n">
        <v>66</v>
      </c>
      <c r="AA238" t="n">
        <v>143</v>
      </c>
      <c r="AB238" t="n">
        <v>1</v>
      </c>
      <c r="AC238" t="n">
        <v>3</v>
      </c>
      <c r="AD238" t="n">
        <v>2</v>
      </c>
      <c r="AE238" t="n">
        <v>6</v>
      </c>
      <c r="AF238" t="n">
        <v>0</v>
      </c>
      <c r="AG238" t="n">
        <v>1</v>
      </c>
      <c r="AH238" t="n">
        <v>1</v>
      </c>
      <c r="AI238" t="n">
        <v>2</v>
      </c>
      <c r="AJ238" t="n">
        <v>1</v>
      </c>
      <c r="AK238" t="n">
        <v>2</v>
      </c>
      <c r="AL238" t="n">
        <v>0</v>
      </c>
      <c r="AM238" t="n">
        <v>2</v>
      </c>
      <c r="AN238" t="n">
        <v>0</v>
      </c>
      <c r="AO238" t="n">
        <v>0</v>
      </c>
      <c r="AP238" t="inlineStr">
        <is>
          <t>No</t>
        </is>
      </c>
      <c r="AQ238" t="inlineStr">
        <is>
          <t>Yes</t>
        </is>
      </c>
      <c r="AR238">
        <f>HYPERLINK("http://catalog.hathitrust.org/Record/004022562","HathiTrust Record")</f>
        <v/>
      </c>
      <c r="AS238">
        <f>HYPERLINK("https://creighton-primo.hosted.exlibrisgroup.com/primo-explore/search?tab=default_tab&amp;search_scope=EVERYTHING&amp;vid=01CRU&amp;lang=en_US&amp;offset=0&amp;query=any,contains,991001391229702656","Catalog Record")</f>
        <v/>
      </c>
      <c r="AT238">
        <f>HYPERLINK("http://www.worldcat.org/oclc/39282400","WorldCat Record")</f>
        <v/>
      </c>
      <c r="AU238" t="inlineStr">
        <is>
          <t>766884177:eng</t>
        </is>
      </c>
      <c r="AV238" t="inlineStr">
        <is>
          <t>39282400</t>
        </is>
      </c>
      <c r="AW238" t="inlineStr">
        <is>
          <t>991001391229702656</t>
        </is>
      </c>
      <c r="AX238" t="inlineStr">
        <is>
          <t>991001391229702656</t>
        </is>
      </c>
      <c r="AY238" t="inlineStr">
        <is>
          <t>2264671440002656</t>
        </is>
      </c>
      <c r="AZ238" t="inlineStr">
        <is>
          <t>BOOK</t>
        </is>
      </c>
      <c r="BB238" t="inlineStr">
        <is>
          <t>9780896035171</t>
        </is>
      </c>
      <c r="BC238" t="inlineStr">
        <is>
          <t>30001003807825</t>
        </is>
      </c>
      <c r="BD238" t="inlineStr">
        <is>
          <t>893743764</t>
        </is>
      </c>
    </row>
    <row r="239">
      <c r="A239" t="inlineStr">
        <is>
          <t>No</t>
        </is>
      </c>
      <c r="B239" t="inlineStr">
        <is>
          <t>QU 68 U17b 1988</t>
        </is>
      </c>
      <c r="C239" t="inlineStr">
        <is>
          <t>0                      QU 0068000U  17b         1988</t>
        </is>
      </c>
      <c r="D239" t="inlineStr">
        <is>
          <t>Biological and molecular aspects of atrial factors : proceedings of a Director's Sponsors-UCLA Symposium, held at Steamboat Springs, Colorado, January 17-23, 1988 / editor, Philip Needleman.</t>
        </is>
      </c>
      <c r="E239" t="inlineStr">
        <is>
          <t>V. 81</t>
        </is>
      </c>
      <c r="F239" t="inlineStr">
        <is>
          <t>No</t>
        </is>
      </c>
      <c r="G239" t="inlineStr">
        <is>
          <t>1</t>
        </is>
      </c>
      <c r="H239" t="inlineStr">
        <is>
          <t>No</t>
        </is>
      </c>
      <c r="I239" t="inlineStr">
        <is>
          <t>No</t>
        </is>
      </c>
      <c r="J239" t="inlineStr">
        <is>
          <t>0</t>
        </is>
      </c>
      <c r="K239" t="inlineStr">
        <is>
          <t>UCLA Symposium on the Biological and Molecular Aspects of Atrial Factors (1988 : Steamboat Springs, Colo.)</t>
        </is>
      </c>
      <c r="L239" t="inlineStr">
        <is>
          <t>New York : Liss, c1988.</t>
        </is>
      </c>
      <c r="M239" t="inlineStr">
        <is>
          <t>1988</t>
        </is>
      </c>
      <c r="O239" t="inlineStr">
        <is>
          <t>eng</t>
        </is>
      </c>
      <c r="P239" t="inlineStr">
        <is>
          <t>xxu</t>
        </is>
      </c>
      <c r="Q239" t="inlineStr">
        <is>
          <t>UCLA symposia on molecular and cellular biology ; new ser., v. 81</t>
        </is>
      </c>
      <c r="R239" t="inlineStr">
        <is>
          <t xml:space="preserve">QU </t>
        </is>
      </c>
      <c r="S239" t="n">
        <v>3</v>
      </c>
      <c r="T239" t="n">
        <v>3</v>
      </c>
      <c r="U239" t="inlineStr">
        <is>
          <t>2001-12-12</t>
        </is>
      </c>
      <c r="V239" t="inlineStr">
        <is>
          <t>2001-12-12</t>
        </is>
      </c>
      <c r="W239" t="inlineStr">
        <is>
          <t>1989-06-23</t>
        </is>
      </c>
      <c r="X239" t="inlineStr">
        <is>
          <t>1989-06-23</t>
        </is>
      </c>
      <c r="Y239" t="n">
        <v>149</v>
      </c>
      <c r="Z239" t="n">
        <v>124</v>
      </c>
      <c r="AA239" t="n">
        <v>127</v>
      </c>
      <c r="AB239" t="n">
        <v>2</v>
      </c>
      <c r="AC239" t="n">
        <v>2</v>
      </c>
      <c r="AD239" t="n">
        <v>6</v>
      </c>
      <c r="AE239" t="n">
        <v>6</v>
      </c>
      <c r="AF239" t="n">
        <v>0</v>
      </c>
      <c r="AG239" t="n">
        <v>0</v>
      </c>
      <c r="AH239" t="n">
        <v>2</v>
      </c>
      <c r="AI239" t="n">
        <v>2</v>
      </c>
      <c r="AJ239" t="n">
        <v>4</v>
      </c>
      <c r="AK239" t="n">
        <v>4</v>
      </c>
      <c r="AL239" t="n">
        <v>1</v>
      </c>
      <c r="AM239" t="n">
        <v>1</v>
      </c>
      <c r="AN239" t="n">
        <v>0</v>
      </c>
      <c r="AO239" t="n">
        <v>0</v>
      </c>
      <c r="AP239" t="inlineStr">
        <is>
          <t>No</t>
        </is>
      </c>
      <c r="AQ239" t="inlineStr">
        <is>
          <t>Yes</t>
        </is>
      </c>
      <c r="AR239">
        <f>HYPERLINK("http://catalog.hathitrust.org/Record/001085574","HathiTrust Record")</f>
        <v/>
      </c>
      <c r="AS239">
        <f>HYPERLINK("https://creighton-primo.hosted.exlibrisgroup.com/primo-explore/search?tab=default_tab&amp;search_scope=EVERYTHING&amp;vid=01CRU&amp;lang=en_US&amp;offset=0&amp;query=any,contains,991001253739702656","Catalog Record")</f>
        <v/>
      </c>
      <c r="AT239">
        <f>HYPERLINK("http://www.worldcat.org/oclc/18350728","WorldCat Record")</f>
        <v/>
      </c>
      <c r="AU239" t="inlineStr">
        <is>
          <t>795495616:eng</t>
        </is>
      </c>
      <c r="AV239" t="inlineStr">
        <is>
          <t>18350728</t>
        </is>
      </c>
      <c r="AW239" t="inlineStr">
        <is>
          <t>991001253739702656</t>
        </is>
      </c>
      <c r="AX239" t="inlineStr">
        <is>
          <t>991001253739702656</t>
        </is>
      </c>
      <c r="AY239" t="inlineStr">
        <is>
          <t>2256411220002656</t>
        </is>
      </c>
      <c r="AZ239" t="inlineStr">
        <is>
          <t>BOOK</t>
        </is>
      </c>
      <c r="BB239" t="inlineStr">
        <is>
          <t>9780845126806</t>
        </is>
      </c>
      <c r="BC239" t="inlineStr">
        <is>
          <t>30001001679705</t>
        </is>
      </c>
      <c r="BD239" t="inlineStr">
        <is>
          <t>893168097</t>
        </is>
      </c>
    </row>
    <row r="240">
      <c r="A240" t="inlineStr">
        <is>
          <t>No</t>
        </is>
      </c>
      <c r="B240" t="inlineStr">
        <is>
          <t>QU 75 F944 1990</t>
        </is>
      </c>
      <c r="C240" t="inlineStr">
        <is>
          <t>0                      QU 0075000F  944         1990</t>
        </is>
      </c>
      <c r="D240" t="inlineStr">
        <is>
          <t>Fructose-2,6-bisphosphate / editor, Simon J. Pilkis.</t>
        </is>
      </c>
      <c r="F240" t="inlineStr">
        <is>
          <t>No</t>
        </is>
      </c>
      <c r="G240" t="inlineStr">
        <is>
          <t>1</t>
        </is>
      </c>
      <c r="H240" t="inlineStr">
        <is>
          <t>No</t>
        </is>
      </c>
      <c r="I240" t="inlineStr">
        <is>
          <t>No</t>
        </is>
      </c>
      <c r="J240" t="inlineStr">
        <is>
          <t>0</t>
        </is>
      </c>
      <c r="L240" t="inlineStr">
        <is>
          <t>Boca Raton, Fla. : CRC Press, c1990.</t>
        </is>
      </c>
      <c r="M240" t="inlineStr">
        <is>
          <t>1990</t>
        </is>
      </c>
      <c r="O240" t="inlineStr">
        <is>
          <t>eng</t>
        </is>
      </c>
      <c r="P240" t="inlineStr">
        <is>
          <t>xxu</t>
        </is>
      </c>
      <c r="R240" t="inlineStr">
        <is>
          <t xml:space="preserve">QU </t>
        </is>
      </c>
      <c r="S240" t="n">
        <v>3</v>
      </c>
      <c r="T240" t="n">
        <v>3</v>
      </c>
      <c r="U240" t="inlineStr">
        <is>
          <t>1990-06-15</t>
        </is>
      </c>
      <c r="V240" t="inlineStr">
        <is>
          <t>1990-06-15</t>
        </is>
      </c>
      <c r="W240" t="inlineStr">
        <is>
          <t>1989-09-28</t>
        </is>
      </c>
      <c r="X240" t="inlineStr">
        <is>
          <t>1989-09-28</t>
        </is>
      </c>
      <c r="Y240" t="n">
        <v>98</v>
      </c>
      <c r="Z240" t="n">
        <v>79</v>
      </c>
      <c r="AA240" t="n">
        <v>81</v>
      </c>
      <c r="AB240" t="n">
        <v>2</v>
      </c>
      <c r="AC240" t="n">
        <v>2</v>
      </c>
      <c r="AD240" t="n">
        <v>4</v>
      </c>
      <c r="AE240" t="n">
        <v>4</v>
      </c>
      <c r="AF240" t="n">
        <v>0</v>
      </c>
      <c r="AG240" t="n">
        <v>0</v>
      </c>
      <c r="AH240" t="n">
        <v>3</v>
      </c>
      <c r="AI240" t="n">
        <v>3</v>
      </c>
      <c r="AJ240" t="n">
        <v>1</v>
      </c>
      <c r="AK240" t="n">
        <v>1</v>
      </c>
      <c r="AL240" t="n">
        <v>1</v>
      </c>
      <c r="AM240" t="n">
        <v>1</v>
      </c>
      <c r="AN240" t="n">
        <v>0</v>
      </c>
      <c r="AO240" t="n">
        <v>0</v>
      </c>
      <c r="AP240" t="inlineStr">
        <is>
          <t>No</t>
        </is>
      </c>
      <c r="AQ240" t="inlineStr">
        <is>
          <t>Yes</t>
        </is>
      </c>
      <c r="AR240">
        <f>HYPERLINK("http://catalog.hathitrust.org/Record/002237860","HathiTrust Record")</f>
        <v/>
      </c>
      <c r="AS240">
        <f>HYPERLINK("https://creighton-primo.hosted.exlibrisgroup.com/primo-explore/search?tab=default_tab&amp;search_scope=EVERYTHING&amp;vid=01CRU&amp;lang=en_US&amp;offset=0&amp;query=any,contains,991001324079702656","Catalog Record")</f>
        <v/>
      </c>
      <c r="AT240">
        <f>HYPERLINK("http://www.worldcat.org/oclc/20294298","WorldCat Record")</f>
        <v/>
      </c>
      <c r="AU240" t="inlineStr">
        <is>
          <t>22659097:eng</t>
        </is>
      </c>
      <c r="AV240" t="inlineStr">
        <is>
          <t>20294298</t>
        </is>
      </c>
      <c r="AW240" t="inlineStr">
        <is>
          <t>991001324079702656</t>
        </is>
      </c>
      <c r="AX240" t="inlineStr">
        <is>
          <t>991001324079702656</t>
        </is>
      </c>
      <c r="AY240" t="inlineStr">
        <is>
          <t>2255228360002656</t>
        </is>
      </c>
      <c r="AZ240" t="inlineStr">
        <is>
          <t>BOOK</t>
        </is>
      </c>
      <c r="BB240" t="inlineStr">
        <is>
          <t>9780849347955</t>
        </is>
      </c>
      <c r="BC240" t="inlineStr">
        <is>
          <t>30001001754268</t>
        </is>
      </c>
      <c r="BD240" t="inlineStr">
        <is>
          <t>893832101</t>
        </is>
      </c>
    </row>
    <row r="241">
      <c r="A241" t="inlineStr">
        <is>
          <t>No</t>
        </is>
      </c>
      <c r="B241" t="inlineStr">
        <is>
          <t>QU 75 G997m 1998</t>
        </is>
      </c>
      <c r="C241" t="inlineStr">
        <is>
          <t>0                      QU 0075000G  997m        1998</t>
        </is>
      </c>
      <c r="D241" t="inlineStr">
        <is>
          <t>Monosaccharide sugars : chemical synthesis by chain elongation, degradation, and epimerization / Zoltán Györgydeák, István F. Pelyvás.</t>
        </is>
      </c>
      <c r="F241" t="inlineStr">
        <is>
          <t>No</t>
        </is>
      </c>
      <c r="G241" t="inlineStr">
        <is>
          <t>1</t>
        </is>
      </c>
      <c r="H241" t="inlineStr">
        <is>
          <t>No</t>
        </is>
      </c>
      <c r="I241" t="inlineStr">
        <is>
          <t>No</t>
        </is>
      </c>
      <c r="J241" t="inlineStr">
        <is>
          <t>0</t>
        </is>
      </c>
      <c r="K241" t="inlineStr">
        <is>
          <t>Györgydeák, Zoltán.</t>
        </is>
      </c>
      <c r="L241" t="inlineStr">
        <is>
          <t>San Diego : Academic Press, c1998.</t>
        </is>
      </c>
      <c r="M241" t="inlineStr">
        <is>
          <t>1998</t>
        </is>
      </c>
      <c r="O241" t="inlineStr">
        <is>
          <t>eng</t>
        </is>
      </c>
      <c r="P241" t="inlineStr">
        <is>
          <t>cau</t>
        </is>
      </c>
      <c r="R241" t="inlineStr">
        <is>
          <t xml:space="preserve">QU </t>
        </is>
      </c>
      <c r="S241" t="n">
        <v>3</v>
      </c>
      <c r="T241" t="n">
        <v>3</v>
      </c>
      <c r="U241" t="inlineStr">
        <is>
          <t>1999-03-27</t>
        </is>
      </c>
      <c r="V241" t="inlineStr">
        <is>
          <t>1999-03-27</t>
        </is>
      </c>
      <c r="W241" t="inlineStr">
        <is>
          <t>1998-11-17</t>
        </is>
      </c>
      <c r="X241" t="inlineStr">
        <is>
          <t>1998-11-17</t>
        </is>
      </c>
      <c r="Y241" t="n">
        <v>186</v>
      </c>
      <c r="Z241" t="n">
        <v>138</v>
      </c>
      <c r="AA241" t="n">
        <v>199</v>
      </c>
      <c r="AB241" t="n">
        <v>2</v>
      </c>
      <c r="AC241" t="n">
        <v>3</v>
      </c>
      <c r="AD241" t="n">
        <v>6</v>
      </c>
      <c r="AE241" t="n">
        <v>9</v>
      </c>
      <c r="AF241" t="n">
        <v>0</v>
      </c>
      <c r="AG241" t="n">
        <v>1</v>
      </c>
      <c r="AH241" t="n">
        <v>3</v>
      </c>
      <c r="AI241" t="n">
        <v>4</v>
      </c>
      <c r="AJ241" t="n">
        <v>3</v>
      </c>
      <c r="AK241" t="n">
        <v>3</v>
      </c>
      <c r="AL241" t="n">
        <v>1</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HYPERLINK("https://creighton-primo.hosted.exlibrisgroup.com/primo-explore/search?tab=default_tab&amp;search_scope=EVERYTHING&amp;vid=01CRU&amp;lang=en_US&amp;offset=0&amp;query=any,contains,991001569909702656","Catalog Record")</f>
        <v/>
      </c>
      <c r="AT241">
        <f>HYPERLINK("http://www.worldcat.org/oclc/37179642","WorldCat Record")</f>
        <v/>
      </c>
      <c r="AU241" t="inlineStr">
        <is>
          <t>801416359:eng</t>
        </is>
      </c>
      <c r="AV241" t="inlineStr">
        <is>
          <t>37179642</t>
        </is>
      </c>
      <c r="AW241" t="inlineStr">
        <is>
          <t>991001569909702656</t>
        </is>
      </c>
      <c r="AX241" t="inlineStr">
        <is>
          <t>991001569909702656</t>
        </is>
      </c>
      <c r="AY241" t="inlineStr">
        <is>
          <t>2256661440002656</t>
        </is>
      </c>
      <c r="AZ241" t="inlineStr">
        <is>
          <t>BOOK</t>
        </is>
      </c>
      <c r="BB241" t="inlineStr">
        <is>
          <t>9780125503600</t>
        </is>
      </c>
      <c r="BC241" t="inlineStr">
        <is>
          <t>30001004092468</t>
        </is>
      </c>
      <c r="BD241" t="inlineStr">
        <is>
          <t>893268653</t>
        </is>
      </c>
    </row>
    <row r="242">
      <c r="A242" t="inlineStr">
        <is>
          <t>No</t>
        </is>
      </c>
      <c r="B242" t="inlineStr">
        <is>
          <t>QU75 L745e 2003</t>
        </is>
      </c>
      <c r="C242" t="inlineStr">
        <is>
          <t>0                      QU 0075000L  745e        2003</t>
        </is>
      </c>
      <c r="D242" t="inlineStr">
        <is>
          <t>Essentials of carbohydrate chemistry and biochemistry / Thisbe K. Lindhorst.</t>
        </is>
      </c>
      <c r="F242" t="inlineStr">
        <is>
          <t>No</t>
        </is>
      </c>
      <c r="G242" t="inlineStr">
        <is>
          <t>1</t>
        </is>
      </c>
      <c r="H242" t="inlineStr">
        <is>
          <t>No</t>
        </is>
      </c>
      <c r="I242" t="inlineStr">
        <is>
          <t>No</t>
        </is>
      </c>
      <c r="J242" t="inlineStr">
        <is>
          <t>0</t>
        </is>
      </c>
      <c r="K242" t="inlineStr">
        <is>
          <t>Lindhorst, Thisbe K.</t>
        </is>
      </c>
      <c r="L242" t="inlineStr">
        <is>
          <t>Weinheim ; [Chichester] : Wiley, c2003.</t>
        </is>
      </c>
      <c r="M242" t="inlineStr">
        <is>
          <t>2003</t>
        </is>
      </c>
      <c r="N242" t="inlineStr">
        <is>
          <t>2nd ed.</t>
        </is>
      </c>
      <c r="O242" t="inlineStr">
        <is>
          <t>eng</t>
        </is>
      </c>
      <c r="P242" t="inlineStr">
        <is>
          <t>enk</t>
        </is>
      </c>
      <c r="R242" t="inlineStr">
        <is>
          <t xml:space="preserve">QU </t>
        </is>
      </c>
      <c r="S242" t="n">
        <v>1</v>
      </c>
      <c r="T242" t="n">
        <v>1</v>
      </c>
      <c r="U242" t="inlineStr">
        <is>
          <t>2005-02-03</t>
        </is>
      </c>
      <c r="V242" t="inlineStr">
        <is>
          <t>2005-02-03</t>
        </is>
      </c>
      <c r="W242" t="inlineStr">
        <is>
          <t>2005-02-01</t>
        </is>
      </c>
      <c r="X242" t="inlineStr">
        <is>
          <t>2005-02-01</t>
        </is>
      </c>
      <c r="Y242" t="n">
        <v>337</v>
      </c>
      <c r="Z242" t="n">
        <v>256</v>
      </c>
      <c r="AA242" t="n">
        <v>302</v>
      </c>
      <c r="AB242" t="n">
        <v>4</v>
      </c>
      <c r="AC242" t="n">
        <v>4</v>
      </c>
      <c r="AD242" t="n">
        <v>12</v>
      </c>
      <c r="AE242" t="n">
        <v>14</v>
      </c>
      <c r="AF242" t="n">
        <v>3</v>
      </c>
      <c r="AG242" t="n">
        <v>3</v>
      </c>
      <c r="AH242" t="n">
        <v>3</v>
      </c>
      <c r="AI242" t="n">
        <v>4</v>
      </c>
      <c r="AJ242" t="n">
        <v>7</v>
      </c>
      <c r="AK242" t="n">
        <v>8</v>
      </c>
      <c r="AL242" t="n">
        <v>3</v>
      </c>
      <c r="AM242" t="n">
        <v>3</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HYPERLINK("https://creighton-primo.hosted.exlibrisgroup.com/primo-explore/search?tab=default_tab&amp;search_scope=EVERYTHING&amp;vid=01CRU&amp;lang=en_US&amp;offset=0&amp;query=any,contains,991000425749702656","Catalog Record")</f>
        <v/>
      </c>
      <c r="AT242">
        <f>HYPERLINK("http://www.worldcat.org/oclc/52090799","WorldCat Record")</f>
        <v/>
      </c>
      <c r="AU242" t="inlineStr">
        <is>
          <t>831931:eng</t>
        </is>
      </c>
      <c r="AV242" t="inlineStr">
        <is>
          <t>52090799</t>
        </is>
      </c>
      <c r="AW242" t="inlineStr">
        <is>
          <t>991000425749702656</t>
        </is>
      </c>
      <c r="AX242" t="inlineStr">
        <is>
          <t>991000425749702656</t>
        </is>
      </c>
      <c r="AY242" t="inlineStr">
        <is>
          <t>2265333000002656</t>
        </is>
      </c>
      <c r="AZ242" t="inlineStr">
        <is>
          <t>BOOK</t>
        </is>
      </c>
      <c r="BB242" t="inlineStr">
        <is>
          <t>9783527306640</t>
        </is>
      </c>
      <c r="BC242" t="inlineStr">
        <is>
          <t>30001004927127</t>
        </is>
      </c>
      <c r="BD242" t="inlineStr">
        <is>
          <t>893639165</t>
        </is>
      </c>
    </row>
    <row r="243">
      <c r="A243" t="inlineStr">
        <is>
          <t>No</t>
        </is>
      </c>
      <c r="B243" t="inlineStr">
        <is>
          <t>QU 75 P927 1997</t>
        </is>
      </c>
      <c r="C243" t="inlineStr">
        <is>
          <t>0                      QU 0075000P  927         1997</t>
        </is>
      </c>
      <c r="D243" t="inlineStr">
        <is>
          <t>Preparative carbohydrate chemistry / edited by Stephen Hanessian.</t>
        </is>
      </c>
      <c r="F243" t="inlineStr">
        <is>
          <t>No</t>
        </is>
      </c>
      <c r="G243" t="inlineStr">
        <is>
          <t>1</t>
        </is>
      </c>
      <c r="H243" t="inlineStr">
        <is>
          <t>No</t>
        </is>
      </c>
      <c r="I243" t="inlineStr">
        <is>
          <t>No</t>
        </is>
      </c>
      <c r="J243" t="inlineStr">
        <is>
          <t>0</t>
        </is>
      </c>
      <c r="L243" t="inlineStr">
        <is>
          <t>New York : Marcel Dekker, c1997.</t>
        </is>
      </c>
      <c r="M243" t="inlineStr">
        <is>
          <t>1997</t>
        </is>
      </c>
      <c r="O243" t="inlineStr">
        <is>
          <t>eng</t>
        </is>
      </c>
      <c r="P243" t="inlineStr">
        <is>
          <t>nyu</t>
        </is>
      </c>
      <c r="R243" t="inlineStr">
        <is>
          <t xml:space="preserve">QU </t>
        </is>
      </c>
      <c r="S243" t="n">
        <v>2</v>
      </c>
      <c r="T243" t="n">
        <v>2</v>
      </c>
      <c r="U243" t="inlineStr">
        <is>
          <t>1998-03-04</t>
        </is>
      </c>
      <c r="V243" t="inlineStr">
        <is>
          <t>1998-03-04</t>
        </is>
      </c>
      <c r="W243" t="inlineStr">
        <is>
          <t>1998-03-04</t>
        </is>
      </c>
      <c r="X243" t="inlineStr">
        <is>
          <t>1998-03-04</t>
        </is>
      </c>
      <c r="Y243" t="n">
        <v>222</v>
      </c>
      <c r="Z243" t="n">
        <v>142</v>
      </c>
      <c r="AA243" t="n">
        <v>724</v>
      </c>
      <c r="AB243" t="n">
        <v>1</v>
      </c>
      <c r="AC243" t="n">
        <v>2</v>
      </c>
      <c r="AD243" t="n">
        <v>5</v>
      </c>
      <c r="AE243" t="n">
        <v>13</v>
      </c>
      <c r="AF243" t="n">
        <v>3</v>
      </c>
      <c r="AG243" t="n">
        <v>9</v>
      </c>
      <c r="AH243" t="n">
        <v>1</v>
      </c>
      <c r="AI243" t="n">
        <v>2</v>
      </c>
      <c r="AJ243" t="n">
        <v>3</v>
      </c>
      <c r="AK243" t="n">
        <v>5</v>
      </c>
      <c r="AL243" t="n">
        <v>0</v>
      </c>
      <c r="AM243" t="n">
        <v>1</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HYPERLINK("https://creighton-primo.hosted.exlibrisgroup.com/primo-explore/search?tab=default_tab&amp;search_scope=EVERYTHING&amp;vid=01CRU&amp;lang=en_US&amp;offset=0&amp;query=any,contains,991001226359702656","Catalog Record")</f>
        <v/>
      </c>
      <c r="AT243">
        <f>HYPERLINK("http://www.worldcat.org/oclc/35829027","WorldCat Record")</f>
        <v/>
      </c>
      <c r="AU243" t="inlineStr">
        <is>
          <t>412792045:eng</t>
        </is>
      </c>
      <c r="AV243" t="inlineStr">
        <is>
          <t>35829027</t>
        </is>
      </c>
      <c r="AW243" t="inlineStr">
        <is>
          <t>991001226359702656</t>
        </is>
      </c>
      <c r="AX243" t="inlineStr">
        <is>
          <t>991001226359702656</t>
        </is>
      </c>
      <c r="AY243" t="inlineStr">
        <is>
          <t>2257284440002656</t>
        </is>
      </c>
      <c r="AZ243" t="inlineStr">
        <is>
          <t>BOOK</t>
        </is>
      </c>
      <c r="BB243" t="inlineStr">
        <is>
          <t>9780824798024</t>
        </is>
      </c>
      <c r="BC243" t="inlineStr">
        <is>
          <t>30001003669431</t>
        </is>
      </c>
      <c r="BD243" t="inlineStr">
        <is>
          <t>893643344</t>
        </is>
      </c>
    </row>
    <row r="244">
      <c r="A244" t="inlineStr">
        <is>
          <t>No</t>
        </is>
      </c>
      <c r="B244" t="inlineStr">
        <is>
          <t>QU75 R668e 1998</t>
        </is>
      </c>
      <c r="C244" t="inlineStr">
        <is>
          <t>0                      QU 0075000R  668e        1998</t>
        </is>
      </c>
      <c r="D244" t="inlineStr">
        <is>
          <t>Essentials of carbohydrate chemistry / John F. Robyt.</t>
        </is>
      </c>
      <c r="F244" t="inlineStr">
        <is>
          <t>No</t>
        </is>
      </c>
      <c r="G244" t="inlineStr">
        <is>
          <t>1</t>
        </is>
      </c>
      <c r="H244" t="inlineStr">
        <is>
          <t>No</t>
        </is>
      </c>
      <c r="I244" t="inlineStr">
        <is>
          <t>No</t>
        </is>
      </c>
      <c r="J244" t="inlineStr">
        <is>
          <t>0</t>
        </is>
      </c>
      <c r="K244" t="inlineStr">
        <is>
          <t>Robyt, John F., 1935-</t>
        </is>
      </c>
      <c r="L244" t="inlineStr">
        <is>
          <t>New York : Springer, c1998.</t>
        </is>
      </c>
      <c r="M244" t="inlineStr">
        <is>
          <t>1998</t>
        </is>
      </c>
      <c r="O244" t="inlineStr">
        <is>
          <t>eng</t>
        </is>
      </c>
      <c r="P244" t="inlineStr">
        <is>
          <t>nyu</t>
        </is>
      </c>
      <c r="Q244" t="inlineStr">
        <is>
          <t>Springer advanced texts in chemistry</t>
        </is>
      </c>
      <c r="R244" t="inlineStr">
        <is>
          <t xml:space="preserve">QU </t>
        </is>
      </c>
      <c r="S244" t="n">
        <v>1</v>
      </c>
      <c r="T244" t="n">
        <v>1</v>
      </c>
      <c r="U244" t="inlineStr">
        <is>
          <t>2005-02-03</t>
        </is>
      </c>
      <c r="V244" t="inlineStr">
        <is>
          <t>2005-02-03</t>
        </is>
      </c>
      <c r="W244" t="inlineStr">
        <is>
          <t>2005-02-01</t>
        </is>
      </c>
      <c r="X244" t="inlineStr">
        <is>
          <t>2005-02-01</t>
        </is>
      </c>
      <c r="Y244" t="n">
        <v>474</v>
      </c>
      <c r="Z244" t="n">
        <v>366</v>
      </c>
      <c r="AA244" t="n">
        <v>383</v>
      </c>
      <c r="AB244" t="n">
        <v>6</v>
      </c>
      <c r="AC244" t="n">
        <v>6</v>
      </c>
      <c r="AD244" t="n">
        <v>26</v>
      </c>
      <c r="AE244" t="n">
        <v>28</v>
      </c>
      <c r="AF244" t="n">
        <v>9</v>
      </c>
      <c r="AG244" t="n">
        <v>10</v>
      </c>
      <c r="AH244" t="n">
        <v>7</v>
      </c>
      <c r="AI244" t="n">
        <v>7</v>
      </c>
      <c r="AJ244" t="n">
        <v>9</v>
      </c>
      <c r="AK244" t="n">
        <v>11</v>
      </c>
      <c r="AL244" t="n">
        <v>5</v>
      </c>
      <c r="AM244" t="n">
        <v>5</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HYPERLINK("https://creighton-primo.hosted.exlibrisgroup.com/primo-explore/search?tab=default_tab&amp;search_scope=EVERYTHING&amp;vid=01CRU&amp;lang=en_US&amp;offset=0&amp;query=any,contains,991000425699702656","Catalog Record")</f>
        <v/>
      </c>
      <c r="AT244">
        <f>HYPERLINK("http://www.worldcat.org/oclc/36858098","WorldCat Record")</f>
        <v/>
      </c>
      <c r="AU244" t="inlineStr">
        <is>
          <t>536466:eng</t>
        </is>
      </c>
      <c r="AV244" t="inlineStr">
        <is>
          <t>36858098</t>
        </is>
      </c>
      <c r="AW244" t="inlineStr">
        <is>
          <t>991000425699702656</t>
        </is>
      </c>
      <c r="AX244" t="inlineStr">
        <is>
          <t>991000425699702656</t>
        </is>
      </c>
      <c r="AY244" t="inlineStr">
        <is>
          <t>2258833130002656</t>
        </is>
      </c>
      <c r="AZ244" t="inlineStr">
        <is>
          <t>BOOK</t>
        </is>
      </c>
      <c r="BB244" t="inlineStr">
        <is>
          <t>9780387949512</t>
        </is>
      </c>
      <c r="BC244" t="inlineStr">
        <is>
          <t>30001004927119</t>
        </is>
      </c>
      <c r="BD244" t="inlineStr">
        <is>
          <t>893832800</t>
        </is>
      </c>
    </row>
    <row r="245">
      <c r="A245" t="inlineStr">
        <is>
          <t>No</t>
        </is>
      </c>
      <c r="B245" t="inlineStr">
        <is>
          <t>QU 75 S528s 1975</t>
        </is>
      </c>
      <c r="C245" t="inlineStr">
        <is>
          <t>0                      QU 0075000S  528s        1975</t>
        </is>
      </c>
      <c r="D245" t="inlineStr">
        <is>
          <t>Sugar chemistry / by R. S. Shallenberger and G. G. Birch.</t>
        </is>
      </c>
      <c r="F245" t="inlineStr">
        <is>
          <t>No</t>
        </is>
      </c>
      <c r="G245" t="inlineStr">
        <is>
          <t>1</t>
        </is>
      </c>
      <c r="H245" t="inlineStr">
        <is>
          <t>No</t>
        </is>
      </c>
      <c r="I245" t="inlineStr">
        <is>
          <t>No</t>
        </is>
      </c>
      <c r="J245" t="inlineStr">
        <is>
          <t>0</t>
        </is>
      </c>
      <c r="K245" t="inlineStr">
        <is>
          <t>Shallenberger, R. S.</t>
        </is>
      </c>
      <c r="L245" t="inlineStr">
        <is>
          <t>Westport, Conn. : Avi Pub. Co., 1975.</t>
        </is>
      </c>
      <c r="M245" t="inlineStr">
        <is>
          <t>1975</t>
        </is>
      </c>
      <c r="O245" t="inlineStr">
        <is>
          <t>eng</t>
        </is>
      </c>
      <c r="P245" t="inlineStr">
        <is>
          <t>ctu</t>
        </is>
      </c>
      <c r="R245" t="inlineStr">
        <is>
          <t xml:space="preserve">QU </t>
        </is>
      </c>
      <c r="S245" t="n">
        <v>2</v>
      </c>
      <c r="T245" t="n">
        <v>2</v>
      </c>
      <c r="U245" t="inlineStr">
        <is>
          <t>1989-11-13</t>
        </is>
      </c>
      <c r="V245" t="inlineStr">
        <is>
          <t>1989-11-13</t>
        </is>
      </c>
      <c r="W245" t="inlineStr">
        <is>
          <t>1987-12-30</t>
        </is>
      </c>
      <c r="X245" t="inlineStr">
        <is>
          <t>1987-12-30</t>
        </is>
      </c>
      <c r="Y245" t="n">
        <v>263</v>
      </c>
      <c r="Z245" t="n">
        <v>192</v>
      </c>
      <c r="AA245" t="n">
        <v>194</v>
      </c>
      <c r="AB245" t="n">
        <v>3</v>
      </c>
      <c r="AC245" t="n">
        <v>3</v>
      </c>
      <c r="AD245" t="n">
        <v>2</v>
      </c>
      <c r="AE245" t="n">
        <v>2</v>
      </c>
      <c r="AF245" t="n">
        <v>0</v>
      </c>
      <c r="AG245" t="n">
        <v>0</v>
      </c>
      <c r="AH245" t="n">
        <v>0</v>
      </c>
      <c r="AI245" t="n">
        <v>0</v>
      </c>
      <c r="AJ245" t="n">
        <v>0</v>
      </c>
      <c r="AK245" t="n">
        <v>0</v>
      </c>
      <c r="AL245" t="n">
        <v>2</v>
      </c>
      <c r="AM245" t="n">
        <v>2</v>
      </c>
      <c r="AN245" t="n">
        <v>0</v>
      </c>
      <c r="AO245" t="n">
        <v>0</v>
      </c>
      <c r="AP245" t="inlineStr">
        <is>
          <t>No</t>
        </is>
      </c>
      <c r="AQ245" t="inlineStr">
        <is>
          <t>Yes</t>
        </is>
      </c>
      <c r="AR245">
        <f>HYPERLINK("http://catalog.hathitrust.org/Record/007972919","HathiTrust Record")</f>
        <v/>
      </c>
      <c r="AS245">
        <f>HYPERLINK("https://creighton-primo.hosted.exlibrisgroup.com/primo-explore/search?tab=default_tab&amp;search_scope=EVERYTHING&amp;vid=01CRU&amp;lang=en_US&amp;offset=0&amp;query=any,contains,991000898269702656","Catalog Record")</f>
        <v/>
      </c>
      <c r="AT245">
        <f>HYPERLINK("http://www.worldcat.org/oclc/1360899","WorldCat Record")</f>
        <v/>
      </c>
      <c r="AU245" t="inlineStr">
        <is>
          <t>3754624708:eng</t>
        </is>
      </c>
      <c r="AV245" t="inlineStr">
        <is>
          <t>1360899</t>
        </is>
      </c>
      <c r="AW245" t="inlineStr">
        <is>
          <t>991000898269702656</t>
        </is>
      </c>
      <c r="AX245" t="inlineStr">
        <is>
          <t>991000898269702656</t>
        </is>
      </c>
      <c r="AY245" t="inlineStr">
        <is>
          <t>2257809670002656</t>
        </is>
      </c>
      <c r="AZ245" t="inlineStr">
        <is>
          <t>BOOK</t>
        </is>
      </c>
      <c r="BB245" t="inlineStr">
        <is>
          <t>9780870551666</t>
        </is>
      </c>
      <c r="BC245" t="inlineStr">
        <is>
          <t>30001000158826</t>
        </is>
      </c>
      <c r="BD245" t="inlineStr">
        <is>
          <t>893273447</t>
        </is>
      </c>
    </row>
    <row r="246">
      <c r="A246" t="inlineStr">
        <is>
          <t>No</t>
        </is>
      </c>
      <c r="B246" t="inlineStr">
        <is>
          <t>QU 83 K39 1988</t>
        </is>
      </c>
      <c r="C246" t="inlineStr">
        <is>
          <t>0                      QU 0083000K  39          1988</t>
        </is>
      </c>
      <c r="D246" t="inlineStr">
        <is>
          <t>Keratan sulphate : chemistry, biology, chemical pathology : a meeting held at Vaalsbroek, August 1988 / edited by Helmut Greiling and John E. Scott.</t>
        </is>
      </c>
      <c r="F246" t="inlineStr">
        <is>
          <t>No</t>
        </is>
      </c>
      <c r="G246" t="inlineStr">
        <is>
          <t>1</t>
        </is>
      </c>
      <c r="H246" t="inlineStr">
        <is>
          <t>No</t>
        </is>
      </c>
      <c r="I246" t="inlineStr">
        <is>
          <t>No</t>
        </is>
      </c>
      <c r="J246" t="inlineStr">
        <is>
          <t>0</t>
        </is>
      </c>
      <c r="L246" t="inlineStr">
        <is>
          <t>London : Biochemical Society, c1989.</t>
        </is>
      </c>
      <c r="M246" t="inlineStr">
        <is>
          <t>1989</t>
        </is>
      </c>
      <c r="O246" t="inlineStr">
        <is>
          <t>eng</t>
        </is>
      </c>
      <c r="P246" t="inlineStr">
        <is>
          <t>enk</t>
        </is>
      </c>
      <c r="R246" t="inlineStr">
        <is>
          <t xml:space="preserve">QU </t>
        </is>
      </c>
      <c r="S246" t="n">
        <v>2</v>
      </c>
      <c r="T246" t="n">
        <v>2</v>
      </c>
      <c r="U246" t="inlineStr">
        <is>
          <t>1991-07-16</t>
        </is>
      </c>
      <c r="V246" t="inlineStr">
        <is>
          <t>1991-07-16</t>
        </is>
      </c>
      <c r="W246" t="inlineStr">
        <is>
          <t>1991-05-07</t>
        </is>
      </c>
      <c r="X246" t="inlineStr">
        <is>
          <t>1991-05-07</t>
        </is>
      </c>
      <c r="Y246" t="n">
        <v>69</v>
      </c>
      <c r="Z246" t="n">
        <v>33</v>
      </c>
      <c r="AA246" t="n">
        <v>35</v>
      </c>
      <c r="AB246" t="n">
        <v>1</v>
      </c>
      <c r="AC246" t="n">
        <v>1</v>
      </c>
      <c r="AD246" t="n">
        <v>0</v>
      </c>
      <c r="AE246" t="n">
        <v>0</v>
      </c>
      <c r="AF246" t="n">
        <v>0</v>
      </c>
      <c r="AG246" t="n">
        <v>0</v>
      </c>
      <c r="AH246" t="n">
        <v>0</v>
      </c>
      <c r="AI246" t="n">
        <v>0</v>
      </c>
      <c r="AJ246" t="n">
        <v>0</v>
      </c>
      <c r="AK246" t="n">
        <v>0</v>
      </c>
      <c r="AL246" t="n">
        <v>0</v>
      </c>
      <c r="AM246" t="n">
        <v>0</v>
      </c>
      <c r="AN246" t="n">
        <v>0</v>
      </c>
      <c r="AO246" t="n">
        <v>0</v>
      </c>
      <c r="AP246" t="inlineStr">
        <is>
          <t>No</t>
        </is>
      </c>
      <c r="AQ246" t="inlineStr">
        <is>
          <t>Yes</t>
        </is>
      </c>
      <c r="AR246">
        <f>HYPERLINK("http://catalog.hathitrust.org/Record/006248103","HathiTrust Record")</f>
        <v/>
      </c>
      <c r="AS246">
        <f>HYPERLINK("https://creighton-primo.hosted.exlibrisgroup.com/primo-explore/search?tab=default_tab&amp;search_scope=EVERYTHING&amp;vid=01CRU&amp;lang=en_US&amp;offset=0&amp;query=any,contains,991000827779702656","Catalog Record")</f>
        <v/>
      </c>
      <c r="AT246">
        <f>HYPERLINK("http://www.worldcat.org/oclc/22862636","WorldCat Record")</f>
        <v/>
      </c>
      <c r="AU246" t="inlineStr">
        <is>
          <t>836763155:eng</t>
        </is>
      </c>
      <c r="AV246" t="inlineStr">
        <is>
          <t>22862636</t>
        </is>
      </c>
      <c r="AW246" t="inlineStr">
        <is>
          <t>991000827779702656</t>
        </is>
      </c>
      <c r="AX246" t="inlineStr">
        <is>
          <t>991000827779702656</t>
        </is>
      </c>
      <c r="AY246" t="inlineStr">
        <is>
          <t>2272670700002656</t>
        </is>
      </c>
      <c r="AZ246" t="inlineStr">
        <is>
          <t>BOOK</t>
        </is>
      </c>
      <c r="BB246" t="inlineStr">
        <is>
          <t>9780904498257</t>
        </is>
      </c>
      <c r="BC246" t="inlineStr">
        <is>
          <t>30001002089755</t>
        </is>
      </c>
      <c r="BD246" t="inlineStr">
        <is>
          <t>893831456</t>
        </is>
      </c>
    </row>
    <row r="247">
      <c r="A247" t="inlineStr">
        <is>
          <t>No</t>
        </is>
      </c>
      <c r="B247" t="inlineStr">
        <is>
          <t>QU 83 K95p 2006</t>
        </is>
      </c>
      <c r="C247" t="inlineStr">
        <is>
          <t>0                      QU 0083000K  95p         2006</t>
        </is>
      </c>
      <c r="D247" t="inlineStr">
        <is>
          <t>Practical aspects of hyaluronan based medical products / J.W. Kuo.</t>
        </is>
      </c>
      <c r="F247" t="inlineStr">
        <is>
          <t>No</t>
        </is>
      </c>
      <c r="G247" t="inlineStr">
        <is>
          <t>1</t>
        </is>
      </c>
      <c r="H247" t="inlineStr">
        <is>
          <t>No</t>
        </is>
      </c>
      <c r="I247" t="inlineStr">
        <is>
          <t>No</t>
        </is>
      </c>
      <c r="J247" t="inlineStr">
        <is>
          <t>0</t>
        </is>
      </c>
      <c r="K247" t="inlineStr">
        <is>
          <t>Kuo, J. W. (Jing-wen)</t>
        </is>
      </c>
      <c r="L247" t="inlineStr">
        <is>
          <t>Boca Raton : CRC/Taylor &amp; Francis, 2006.</t>
        </is>
      </c>
      <c r="M247" t="inlineStr">
        <is>
          <t>2006</t>
        </is>
      </c>
      <c r="O247" t="inlineStr">
        <is>
          <t>eng</t>
        </is>
      </c>
      <c r="P247" t="inlineStr">
        <is>
          <t>flu</t>
        </is>
      </c>
      <c r="R247" t="inlineStr">
        <is>
          <t xml:space="preserve">QU </t>
        </is>
      </c>
      <c r="S247" t="n">
        <v>0</v>
      </c>
      <c r="T247" t="n">
        <v>0</v>
      </c>
      <c r="U247" t="inlineStr">
        <is>
          <t>2007-02-09</t>
        </is>
      </c>
      <c r="V247" t="inlineStr">
        <is>
          <t>2007-02-09</t>
        </is>
      </c>
      <c r="W247" t="inlineStr">
        <is>
          <t>2007-02-08</t>
        </is>
      </c>
      <c r="X247" t="inlineStr">
        <is>
          <t>2007-02-08</t>
        </is>
      </c>
      <c r="Y247" t="n">
        <v>40</v>
      </c>
      <c r="Z247" t="n">
        <v>21</v>
      </c>
      <c r="AA247" t="n">
        <v>58</v>
      </c>
      <c r="AB247" t="n">
        <v>1</v>
      </c>
      <c r="AC247" t="n">
        <v>1</v>
      </c>
      <c r="AD247" t="n">
        <v>0</v>
      </c>
      <c r="AE247" t="n">
        <v>0</v>
      </c>
      <c r="AF247" t="n">
        <v>0</v>
      </c>
      <c r="AG247" t="n">
        <v>0</v>
      </c>
      <c r="AH247" t="n">
        <v>0</v>
      </c>
      <c r="AI247" t="n">
        <v>0</v>
      </c>
      <c r="AJ247" t="n">
        <v>0</v>
      </c>
      <c r="AK247" t="n">
        <v>0</v>
      </c>
      <c r="AL247" t="n">
        <v>0</v>
      </c>
      <c r="AM247" t="n">
        <v>0</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HYPERLINK("https://creighton-primo.hosted.exlibrisgroup.com/primo-explore/search?tab=default_tab&amp;search_scope=EVERYTHING&amp;vid=01CRU&amp;lang=en_US&amp;offset=0&amp;query=any,contains,991000593479702656","Catalog Record")</f>
        <v/>
      </c>
      <c r="AT247">
        <f>HYPERLINK("http://www.worldcat.org/oclc/59280353","WorldCat Record")</f>
        <v/>
      </c>
      <c r="AU247" t="inlineStr">
        <is>
          <t>20304912:eng</t>
        </is>
      </c>
      <c r="AV247" t="inlineStr">
        <is>
          <t>59280353</t>
        </is>
      </c>
      <c r="AW247" t="inlineStr">
        <is>
          <t>991000593479702656</t>
        </is>
      </c>
      <c r="AX247" t="inlineStr">
        <is>
          <t>991000593479702656</t>
        </is>
      </c>
      <c r="AY247" t="inlineStr">
        <is>
          <t>2257280730002656</t>
        </is>
      </c>
      <c r="AZ247" t="inlineStr">
        <is>
          <t>BOOK</t>
        </is>
      </c>
      <c r="BB247" t="inlineStr">
        <is>
          <t>9780849333248</t>
        </is>
      </c>
      <c r="BC247" t="inlineStr">
        <is>
          <t>30001005169794</t>
        </is>
      </c>
      <c r="BD247" t="inlineStr">
        <is>
          <t>893146394</t>
        </is>
      </c>
    </row>
    <row r="248">
      <c r="A248" t="inlineStr">
        <is>
          <t>No</t>
        </is>
      </c>
      <c r="B248" t="inlineStr">
        <is>
          <t>QU 85 B6154 1991</t>
        </is>
      </c>
      <c r="C248" t="inlineStr">
        <is>
          <t>0                      QU 0085000B  6154        1991</t>
        </is>
      </c>
      <c r="D248" t="inlineStr">
        <is>
          <t>Biochemistry of lipids, lipoproteins, and membranes / editors, D.E. Vance and J. Vance.</t>
        </is>
      </c>
      <c r="F248" t="inlineStr">
        <is>
          <t>No</t>
        </is>
      </c>
      <c r="G248" t="inlineStr">
        <is>
          <t>1</t>
        </is>
      </c>
      <c r="H248" t="inlineStr">
        <is>
          <t>No</t>
        </is>
      </c>
      <c r="I248" t="inlineStr">
        <is>
          <t>No</t>
        </is>
      </c>
      <c r="J248" t="inlineStr">
        <is>
          <t>0</t>
        </is>
      </c>
      <c r="L248" t="inlineStr">
        <is>
          <t>Amsterdam ; New York : Elsevier, c1991.</t>
        </is>
      </c>
      <c r="M248" t="inlineStr">
        <is>
          <t>1991</t>
        </is>
      </c>
      <c r="O248" t="inlineStr">
        <is>
          <t>eng</t>
        </is>
      </c>
      <c r="P248" t="inlineStr">
        <is>
          <t xml:space="preserve">ne </t>
        </is>
      </c>
      <c r="Q248" t="inlineStr">
        <is>
          <t>New comprehensive biochemistry ; v. 20</t>
        </is>
      </c>
      <c r="R248" t="inlineStr">
        <is>
          <t xml:space="preserve">QU </t>
        </is>
      </c>
      <c r="S248" t="n">
        <v>10</v>
      </c>
      <c r="T248" t="n">
        <v>10</v>
      </c>
      <c r="U248" t="inlineStr">
        <is>
          <t>1996-03-05</t>
        </is>
      </c>
      <c r="V248" t="inlineStr">
        <is>
          <t>1996-03-05</t>
        </is>
      </c>
      <c r="W248" t="inlineStr">
        <is>
          <t>1992-04-14</t>
        </is>
      </c>
      <c r="X248" t="inlineStr">
        <is>
          <t>1992-04-14</t>
        </is>
      </c>
      <c r="Y248" t="n">
        <v>305</v>
      </c>
      <c r="Z248" t="n">
        <v>200</v>
      </c>
      <c r="AA248" t="n">
        <v>445</v>
      </c>
      <c r="AB248" t="n">
        <v>1</v>
      </c>
      <c r="AC248" t="n">
        <v>4</v>
      </c>
      <c r="AD248" t="n">
        <v>9</v>
      </c>
      <c r="AE248" t="n">
        <v>21</v>
      </c>
      <c r="AF248" t="n">
        <v>4</v>
      </c>
      <c r="AG248" t="n">
        <v>7</v>
      </c>
      <c r="AH248" t="n">
        <v>3</v>
      </c>
      <c r="AI248" t="n">
        <v>8</v>
      </c>
      <c r="AJ248" t="n">
        <v>7</v>
      </c>
      <c r="AK248" t="n">
        <v>10</v>
      </c>
      <c r="AL248" t="n">
        <v>0</v>
      </c>
      <c r="AM248" t="n">
        <v>3</v>
      </c>
      <c r="AN248" t="n">
        <v>0</v>
      </c>
      <c r="AO248" t="n">
        <v>0</v>
      </c>
      <c r="AP248" t="inlineStr">
        <is>
          <t>No</t>
        </is>
      </c>
      <c r="AQ248" t="inlineStr">
        <is>
          <t>Yes</t>
        </is>
      </c>
      <c r="AR248">
        <f>HYPERLINK("http://catalog.hathitrust.org/Record/002514771","HathiTrust Record")</f>
        <v/>
      </c>
      <c r="AS248">
        <f>HYPERLINK("https://creighton-primo.hosted.exlibrisgroup.com/primo-explore/search?tab=default_tab&amp;search_scope=EVERYTHING&amp;vid=01CRU&amp;lang=en_US&amp;offset=0&amp;query=any,contains,991001302279702656","Catalog Record")</f>
        <v/>
      </c>
      <c r="AT248">
        <f>HYPERLINK("http://www.worldcat.org/oclc/24848546","WorldCat Record")</f>
        <v/>
      </c>
      <c r="AU248" t="inlineStr">
        <is>
          <t>766651997:eng</t>
        </is>
      </c>
      <c r="AV248" t="inlineStr">
        <is>
          <t>24848546</t>
        </is>
      </c>
      <c r="AW248" t="inlineStr">
        <is>
          <t>991001302279702656</t>
        </is>
      </c>
      <c r="AX248" t="inlineStr">
        <is>
          <t>991001302279702656</t>
        </is>
      </c>
      <c r="AY248" t="inlineStr">
        <is>
          <t>2263035050002656</t>
        </is>
      </c>
      <c r="AZ248" t="inlineStr">
        <is>
          <t>BOOK</t>
        </is>
      </c>
      <c r="BB248" t="inlineStr">
        <is>
          <t>9780444893215</t>
        </is>
      </c>
      <c r="BC248" t="inlineStr">
        <is>
          <t>30001002412338</t>
        </is>
      </c>
      <c r="BD248" t="inlineStr">
        <is>
          <t>893274001</t>
        </is>
      </c>
    </row>
    <row r="249">
      <c r="A249" t="inlineStr">
        <is>
          <t>No</t>
        </is>
      </c>
      <c r="B249" t="inlineStr">
        <is>
          <t>QU 85 C518 1969</t>
        </is>
      </c>
      <c r="C249" t="inlineStr">
        <is>
          <t>0                      QU 0085000C  518         1969</t>
        </is>
      </c>
      <c r="D249" t="inlineStr">
        <is>
          <t>Chemistry and biochemistry of steroids / Leland J. Chinn ... [et al.].</t>
        </is>
      </c>
      <c r="F249" t="inlineStr">
        <is>
          <t>No</t>
        </is>
      </c>
      <c r="G249" t="inlineStr">
        <is>
          <t>1</t>
        </is>
      </c>
      <c r="H249" t="inlineStr">
        <is>
          <t>No</t>
        </is>
      </c>
      <c r="I249" t="inlineStr">
        <is>
          <t>No</t>
        </is>
      </c>
      <c r="J249" t="inlineStr">
        <is>
          <t>0</t>
        </is>
      </c>
      <c r="L249" t="inlineStr">
        <is>
          <t>Los Altos, Calif. : Geron-X, c1969.</t>
        </is>
      </c>
      <c r="M249" t="inlineStr">
        <is>
          <t>1969</t>
        </is>
      </c>
      <c r="O249" t="inlineStr">
        <is>
          <t>eng</t>
        </is>
      </c>
      <c r="P249" t="inlineStr">
        <is>
          <t>cau</t>
        </is>
      </c>
      <c r="Q249" t="inlineStr">
        <is>
          <t>Intra-science chemistry reports ; v. 3, no. 1</t>
        </is>
      </c>
      <c r="R249" t="inlineStr">
        <is>
          <t xml:space="preserve">QU </t>
        </is>
      </c>
      <c r="S249" t="n">
        <v>6</v>
      </c>
      <c r="T249" t="n">
        <v>6</v>
      </c>
      <c r="U249" t="inlineStr">
        <is>
          <t>1998-11-20</t>
        </is>
      </c>
      <c r="V249" t="inlineStr">
        <is>
          <t>1998-11-20</t>
        </is>
      </c>
      <c r="W249" t="inlineStr">
        <is>
          <t>1988-01-28</t>
        </is>
      </c>
      <c r="X249" t="inlineStr">
        <is>
          <t>1988-01-28</t>
        </is>
      </c>
      <c r="Y249" t="n">
        <v>100</v>
      </c>
      <c r="Z249" t="n">
        <v>79</v>
      </c>
      <c r="AA249" t="n">
        <v>88</v>
      </c>
      <c r="AB249" t="n">
        <v>1</v>
      </c>
      <c r="AC249" t="n">
        <v>1</v>
      </c>
      <c r="AD249" t="n">
        <v>1</v>
      </c>
      <c r="AE249" t="n">
        <v>1</v>
      </c>
      <c r="AF249" t="n">
        <v>0</v>
      </c>
      <c r="AG249" t="n">
        <v>0</v>
      </c>
      <c r="AH249" t="n">
        <v>1</v>
      </c>
      <c r="AI249" t="n">
        <v>1</v>
      </c>
      <c r="AJ249" t="n">
        <v>0</v>
      </c>
      <c r="AK249" t="n">
        <v>0</v>
      </c>
      <c r="AL249" t="n">
        <v>0</v>
      </c>
      <c r="AM249" t="n">
        <v>0</v>
      </c>
      <c r="AN249" t="n">
        <v>0</v>
      </c>
      <c r="AO249" t="n">
        <v>0</v>
      </c>
      <c r="AP249" t="inlineStr">
        <is>
          <t>No</t>
        </is>
      </c>
      <c r="AQ249" t="inlineStr">
        <is>
          <t>Yes</t>
        </is>
      </c>
      <c r="AR249">
        <f>HYPERLINK("http://catalog.hathitrust.org/Record/001423488","HathiTrust Record")</f>
        <v/>
      </c>
      <c r="AS249">
        <f>HYPERLINK("https://creighton-primo.hosted.exlibrisgroup.com/primo-explore/search?tab=default_tab&amp;search_scope=EVERYTHING&amp;vid=01CRU&amp;lang=en_US&amp;offset=0&amp;query=any,contains,991000898729702656","Catalog Record")</f>
        <v/>
      </c>
      <c r="AT249">
        <f>HYPERLINK("http://www.worldcat.org/oclc/55840","WorldCat Record")</f>
        <v/>
      </c>
      <c r="AU249" t="inlineStr">
        <is>
          <t>9262041846:eng</t>
        </is>
      </c>
      <c r="AV249" t="inlineStr">
        <is>
          <t>55840</t>
        </is>
      </c>
      <c r="AW249" t="inlineStr">
        <is>
          <t>991000898729702656</t>
        </is>
      </c>
      <c r="AX249" t="inlineStr">
        <is>
          <t>991000898729702656</t>
        </is>
      </c>
      <c r="AY249" t="inlineStr">
        <is>
          <t>2258341430002656</t>
        </is>
      </c>
      <c r="AZ249" t="inlineStr">
        <is>
          <t>BOOK</t>
        </is>
      </c>
      <c r="BC249" t="inlineStr">
        <is>
          <t>30001000159238</t>
        </is>
      </c>
      <c r="BD249" t="inlineStr">
        <is>
          <t>893736001</t>
        </is>
      </c>
    </row>
    <row r="250">
      <c r="A250" t="inlineStr">
        <is>
          <t>No</t>
        </is>
      </c>
      <c r="B250" t="inlineStr">
        <is>
          <t>QU 85 D5646 1981</t>
        </is>
      </c>
      <c r="C250" t="inlineStr">
        <is>
          <t>0                      QU 0085000D  5646        1981</t>
        </is>
      </c>
      <c r="D250" t="inlineStr">
        <is>
          <t>Dietary fats and health / edited by E.G. Perkins and W.J. Visek.</t>
        </is>
      </c>
      <c r="F250" t="inlineStr">
        <is>
          <t>No</t>
        </is>
      </c>
      <c r="G250" t="inlineStr">
        <is>
          <t>1</t>
        </is>
      </c>
      <c r="H250" t="inlineStr">
        <is>
          <t>No</t>
        </is>
      </c>
      <c r="I250" t="inlineStr">
        <is>
          <t>No</t>
        </is>
      </c>
      <c r="J250" t="inlineStr">
        <is>
          <t>0</t>
        </is>
      </c>
      <c r="L250" t="inlineStr">
        <is>
          <t>Champaign, Ill. : American Oil Chemists' Society, c1983.</t>
        </is>
      </c>
      <c r="M250" t="inlineStr">
        <is>
          <t>1983</t>
        </is>
      </c>
      <c r="O250" t="inlineStr">
        <is>
          <t>eng</t>
        </is>
      </c>
      <c r="P250" t="inlineStr">
        <is>
          <t>ilu</t>
        </is>
      </c>
      <c r="Q250" t="inlineStr">
        <is>
          <t>AOCS monograph ; 10</t>
        </is>
      </c>
      <c r="R250" t="inlineStr">
        <is>
          <t xml:space="preserve">QU </t>
        </is>
      </c>
      <c r="S250" t="n">
        <v>1</v>
      </c>
      <c r="T250" t="n">
        <v>1</v>
      </c>
      <c r="U250" t="inlineStr">
        <is>
          <t>1989-11-14</t>
        </is>
      </c>
      <c r="V250" t="inlineStr">
        <is>
          <t>1989-11-14</t>
        </is>
      </c>
      <c r="W250" t="inlineStr">
        <is>
          <t>1988-01-28</t>
        </is>
      </c>
      <c r="X250" t="inlineStr">
        <is>
          <t>1988-01-28</t>
        </is>
      </c>
      <c r="Y250" t="n">
        <v>197</v>
      </c>
      <c r="Z250" t="n">
        <v>162</v>
      </c>
      <c r="AA250" t="n">
        <v>163</v>
      </c>
      <c r="AB250" t="n">
        <v>1</v>
      </c>
      <c r="AC250" t="n">
        <v>1</v>
      </c>
      <c r="AD250" t="n">
        <v>3</v>
      </c>
      <c r="AE250" t="n">
        <v>3</v>
      </c>
      <c r="AF250" t="n">
        <v>1</v>
      </c>
      <c r="AG250" t="n">
        <v>1</v>
      </c>
      <c r="AH250" t="n">
        <v>2</v>
      </c>
      <c r="AI250" t="n">
        <v>2</v>
      </c>
      <c r="AJ250" t="n">
        <v>1</v>
      </c>
      <c r="AK250" t="n">
        <v>1</v>
      </c>
      <c r="AL250" t="n">
        <v>0</v>
      </c>
      <c r="AM250" t="n">
        <v>0</v>
      </c>
      <c r="AN250" t="n">
        <v>0</v>
      </c>
      <c r="AO250" t="n">
        <v>0</v>
      </c>
      <c r="AP250" t="inlineStr">
        <is>
          <t>No</t>
        </is>
      </c>
      <c r="AQ250" t="inlineStr">
        <is>
          <t>Yes</t>
        </is>
      </c>
      <c r="AR250">
        <f>HYPERLINK("http://catalog.hathitrust.org/Record/000205199","HathiTrust Record")</f>
        <v/>
      </c>
      <c r="AS250">
        <f>HYPERLINK("https://creighton-primo.hosted.exlibrisgroup.com/primo-explore/search?tab=default_tab&amp;search_scope=EVERYTHING&amp;vid=01CRU&amp;lang=en_US&amp;offset=0&amp;query=any,contains,991000898779702656","Catalog Record")</f>
        <v/>
      </c>
      <c r="AT250">
        <f>HYPERLINK("http://www.worldcat.org/oclc/9464455","WorldCat Record")</f>
        <v/>
      </c>
      <c r="AU250" t="inlineStr">
        <is>
          <t>355617719:eng</t>
        </is>
      </c>
      <c r="AV250" t="inlineStr">
        <is>
          <t>9464455</t>
        </is>
      </c>
      <c r="AW250" t="inlineStr">
        <is>
          <t>991000898779702656</t>
        </is>
      </c>
      <c r="AX250" t="inlineStr">
        <is>
          <t>991000898779702656</t>
        </is>
      </c>
      <c r="AY250" t="inlineStr">
        <is>
          <t>2264313780002656</t>
        </is>
      </c>
      <c r="AZ250" t="inlineStr">
        <is>
          <t>BOOK</t>
        </is>
      </c>
      <c r="BC250" t="inlineStr">
        <is>
          <t>30001000159287</t>
        </is>
      </c>
      <c r="BD250" t="inlineStr">
        <is>
          <t>893651800</t>
        </is>
      </c>
    </row>
    <row r="251">
      <c r="A251" t="inlineStr">
        <is>
          <t>No</t>
        </is>
      </c>
      <c r="B251" t="inlineStr">
        <is>
          <t>QU 85 E277 1994</t>
        </is>
      </c>
      <c r="C251" t="inlineStr">
        <is>
          <t>0                      QU 0085000E  277         1994</t>
        </is>
      </c>
      <c r="D251" t="inlineStr">
        <is>
          <t>Effects of fatty acids and lipids in health and disease / volume editors, Claudio Galli, Artemis P. Simopoulos, Elena Tremoli.</t>
        </is>
      </c>
      <c r="F251" t="inlineStr">
        <is>
          <t>No</t>
        </is>
      </c>
      <c r="G251" t="inlineStr">
        <is>
          <t>1</t>
        </is>
      </c>
      <c r="H251" t="inlineStr">
        <is>
          <t>No</t>
        </is>
      </c>
      <c r="I251" t="inlineStr">
        <is>
          <t>No</t>
        </is>
      </c>
      <c r="J251" t="inlineStr">
        <is>
          <t>0</t>
        </is>
      </c>
      <c r="L251" t="inlineStr">
        <is>
          <t>Basel ; New York : Karger, c1994.</t>
        </is>
      </c>
      <c r="M251" t="inlineStr">
        <is>
          <t>1994</t>
        </is>
      </c>
      <c r="O251" t="inlineStr">
        <is>
          <t>eng</t>
        </is>
      </c>
      <c r="P251" t="inlineStr">
        <is>
          <t xml:space="preserve">gw </t>
        </is>
      </c>
      <c r="Q251" t="inlineStr">
        <is>
          <t>World review of nutrition and dietetics ; vol. 76</t>
        </is>
      </c>
      <c r="R251" t="inlineStr">
        <is>
          <t xml:space="preserve">QU </t>
        </is>
      </c>
      <c r="S251" t="n">
        <v>3</v>
      </c>
      <c r="T251" t="n">
        <v>3</v>
      </c>
      <c r="U251" t="inlineStr">
        <is>
          <t>2008-09-04</t>
        </is>
      </c>
      <c r="V251" t="inlineStr">
        <is>
          <t>2008-09-04</t>
        </is>
      </c>
      <c r="W251" t="inlineStr">
        <is>
          <t>1995-01-10</t>
        </is>
      </c>
      <c r="X251" t="inlineStr">
        <is>
          <t>1995-01-10</t>
        </is>
      </c>
      <c r="Y251" t="n">
        <v>122</v>
      </c>
      <c r="Z251" t="n">
        <v>77</v>
      </c>
      <c r="AA251" t="n">
        <v>89</v>
      </c>
      <c r="AB251" t="n">
        <v>2</v>
      </c>
      <c r="AC251" t="n">
        <v>2</v>
      </c>
      <c r="AD251" t="n">
        <v>2</v>
      </c>
      <c r="AE251" t="n">
        <v>2</v>
      </c>
      <c r="AF251" t="n">
        <v>0</v>
      </c>
      <c r="AG251" t="n">
        <v>0</v>
      </c>
      <c r="AH251" t="n">
        <v>1</v>
      </c>
      <c r="AI251" t="n">
        <v>1</v>
      </c>
      <c r="AJ251" t="n">
        <v>0</v>
      </c>
      <c r="AK251" t="n">
        <v>0</v>
      </c>
      <c r="AL251" t="n">
        <v>1</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HYPERLINK("https://creighton-primo.hosted.exlibrisgroup.com/primo-explore/search?tab=default_tab&amp;search_scope=EVERYTHING&amp;vid=01CRU&amp;lang=en_US&amp;offset=0&amp;query=any,contains,991000684989702656","Catalog Record")</f>
        <v/>
      </c>
      <c r="AT251">
        <f>HYPERLINK("http://www.worldcat.org/oclc/30895162","WorldCat Record")</f>
        <v/>
      </c>
      <c r="AU251" t="inlineStr">
        <is>
          <t>349923616:eng</t>
        </is>
      </c>
      <c r="AV251" t="inlineStr">
        <is>
          <t>30895162</t>
        </is>
      </c>
      <c r="AW251" t="inlineStr">
        <is>
          <t>991000684989702656</t>
        </is>
      </c>
      <c r="AX251" t="inlineStr">
        <is>
          <t>991000684989702656</t>
        </is>
      </c>
      <c r="AY251" t="inlineStr">
        <is>
          <t>2270935220002656</t>
        </is>
      </c>
      <c r="AZ251" t="inlineStr">
        <is>
          <t>BOOK</t>
        </is>
      </c>
      <c r="BB251" t="inlineStr">
        <is>
          <t>9783805560405</t>
        </is>
      </c>
      <c r="BC251" t="inlineStr">
        <is>
          <t>30001002698746</t>
        </is>
      </c>
      <c r="BD251" t="inlineStr">
        <is>
          <t>893545496</t>
        </is>
      </c>
    </row>
    <row r="252">
      <c r="A252" t="inlineStr">
        <is>
          <t>No</t>
        </is>
      </c>
      <c r="B252" t="inlineStr">
        <is>
          <t>QU 85 G981L 1991</t>
        </is>
      </c>
      <c r="C252" t="inlineStr">
        <is>
          <t>0                      QU 0085000G  981L        1991</t>
        </is>
      </c>
      <c r="D252" t="inlineStr">
        <is>
          <t>Lipid biochemistry : an introduction / M.I. Gurr, J.L.Harwood.</t>
        </is>
      </c>
      <c r="F252" t="inlineStr">
        <is>
          <t>No</t>
        </is>
      </c>
      <c r="G252" t="inlineStr">
        <is>
          <t>1</t>
        </is>
      </c>
      <c r="H252" t="inlineStr">
        <is>
          <t>No</t>
        </is>
      </c>
      <c r="I252" t="inlineStr">
        <is>
          <t>No</t>
        </is>
      </c>
      <c r="J252" t="inlineStr">
        <is>
          <t>0</t>
        </is>
      </c>
      <c r="K252" t="inlineStr">
        <is>
          <t>Gurr, M. I. (Michael Ian)</t>
        </is>
      </c>
      <c r="L252" t="inlineStr">
        <is>
          <t>London ; New York : Chapman and Hall, c1991.</t>
        </is>
      </c>
      <c r="M252" t="inlineStr">
        <is>
          <t>1991</t>
        </is>
      </c>
      <c r="N252" t="inlineStr">
        <is>
          <t>4th ed.</t>
        </is>
      </c>
      <c r="O252" t="inlineStr">
        <is>
          <t>eng</t>
        </is>
      </c>
      <c r="P252" t="inlineStr">
        <is>
          <t>enk</t>
        </is>
      </c>
      <c r="R252" t="inlineStr">
        <is>
          <t xml:space="preserve">QU </t>
        </is>
      </c>
      <c r="S252" t="n">
        <v>16</v>
      </c>
      <c r="T252" t="n">
        <v>16</v>
      </c>
      <c r="U252" t="inlineStr">
        <is>
          <t>1998-11-20</t>
        </is>
      </c>
      <c r="V252" t="inlineStr">
        <is>
          <t>1998-11-20</t>
        </is>
      </c>
      <c r="W252" t="inlineStr">
        <is>
          <t>1990-10-10</t>
        </is>
      </c>
      <c r="X252" t="inlineStr">
        <is>
          <t>1990-10-10</t>
        </is>
      </c>
      <c r="Y252" t="n">
        <v>352</v>
      </c>
      <c r="Z252" t="n">
        <v>180</v>
      </c>
      <c r="AA252" t="n">
        <v>650</v>
      </c>
      <c r="AB252" t="n">
        <v>2</v>
      </c>
      <c r="AC252" t="n">
        <v>5</v>
      </c>
      <c r="AD252" t="n">
        <v>8</v>
      </c>
      <c r="AE252" t="n">
        <v>23</v>
      </c>
      <c r="AF252" t="n">
        <v>3</v>
      </c>
      <c r="AG252" t="n">
        <v>8</v>
      </c>
      <c r="AH252" t="n">
        <v>3</v>
      </c>
      <c r="AI252" t="n">
        <v>7</v>
      </c>
      <c r="AJ252" t="n">
        <v>5</v>
      </c>
      <c r="AK252" t="n">
        <v>12</v>
      </c>
      <c r="AL252" t="n">
        <v>1</v>
      </c>
      <c r="AM252" t="n">
        <v>4</v>
      </c>
      <c r="AN252" t="n">
        <v>0</v>
      </c>
      <c r="AO252" t="n">
        <v>0</v>
      </c>
      <c r="AP252" t="inlineStr">
        <is>
          <t>No</t>
        </is>
      </c>
      <c r="AQ252" t="inlineStr">
        <is>
          <t>Yes</t>
        </is>
      </c>
      <c r="AR252">
        <f>HYPERLINK("http://catalog.hathitrust.org/Record/002463629","HathiTrust Record")</f>
        <v/>
      </c>
      <c r="AS252">
        <f>HYPERLINK("https://creighton-primo.hosted.exlibrisgroup.com/primo-explore/search?tab=default_tab&amp;search_scope=EVERYTHING&amp;vid=01CRU&amp;lang=en_US&amp;offset=0&amp;query=any,contains,991000764769702656","Catalog Record")</f>
        <v/>
      </c>
      <c r="AT252">
        <f>HYPERLINK("http://www.worldcat.org/oclc/23179955","WorldCat Record")</f>
        <v/>
      </c>
      <c r="AU252" t="inlineStr">
        <is>
          <t>2387785:eng</t>
        </is>
      </c>
      <c r="AV252" t="inlineStr">
        <is>
          <t>23179955</t>
        </is>
      </c>
      <c r="AW252" t="inlineStr">
        <is>
          <t>991000764769702656</t>
        </is>
      </c>
      <c r="AX252" t="inlineStr">
        <is>
          <t>991000764769702656</t>
        </is>
      </c>
      <c r="AY252" t="inlineStr">
        <is>
          <t>2265599350002656</t>
        </is>
      </c>
      <c r="AZ252" t="inlineStr">
        <is>
          <t>BOOK</t>
        </is>
      </c>
      <c r="BB252" t="inlineStr">
        <is>
          <t>9780412266201</t>
        </is>
      </c>
      <c r="BC252" t="inlineStr">
        <is>
          <t>30001002060830</t>
        </is>
      </c>
      <c r="BD252" t="inlineStr">
        <is>
          <t>893267413</t>
        </is>
      </c>
    </row>
    <row r="253">
      <c r="A253" t="inlineStr">
        <is>
          <t>No</t>
        </is>
      </c>
      <c r="B253" t="inlineStr">
        <is>
          <t>QU 85 H236 1987 v.5</t>
        </is>
      </c>
      <c r="C253" t="inlineStr">
        <is>
          <t>0                      QU 0085000H  236         1987                                        v.5</t>
        </is>
      </c>
      <c r="D253" t="inlineStr">
        <is>
          <t>The phospholipases / Moseley Waite.</t>
        </is>
      </c>
      <c r="E253" t="inlineStr">
        <is>
          <t>V.5</t>
        </is>
      </c>
      <c r="F253" t="inlineStr">
        <is>
          <t>No</t>
        </is>
      </c>
      <c r="G253" t="inlineStr">
        <is>
          <t>1</t>
        </is>
      </c>
      <c r="H253" t="inlineStr">
        <is>
          <t>No</t>
        </is>
      </c>
      <c r="I253" t="inlineStr">
        <is>
          <t>No</t>
        </is>
      </c>
      <c r="J253" t="inlineStr">
        <is>
          <t>0</t>
        </is>
      </c>
      <c r="K253" t="inlineStr">
        <is>
          <t>Waite, Moseley.</t>
        </is>
      </c>
      <c r="L253" t="inlineStr">
        <is>
          <t>New York : Plenum Press, c1987.</t>
        </is>
      </c>
      <c r="M253" t="inlineStr">
        <is>
          <t>1987</t>
        </is>
      </c>
      <c r="O253" t="inlineStr">
        <is>
          <t>eng</t>
        </is>
      </c>
      <c r="P253" t="inlineStr">
        <is>
          <t>xxu</t>
        </is>
      </c>
      <c r="Q253" t="inlineStr">
        <is>
          <t>Handbook of lipid research ; v. 5</t>
        </is>
      </c>
      <c r="R253" t="inlineStr">
        <is>
          <t xml:space="preserve">QU </t>
        </is>
      </c>
      <c r="S253" t="n">
        <v>5</v>
      </c>
      <c r="T253" t="n">
        <v>5</v>
      </c>
      <c r="U253" t="inlineStr">
        <is>
          <t>1990-08-30</t>
        </is>
      </c>
      <c r="V253" t="inlineStr">
        <is>
          <t>1990-08-30</t>
        </is>
      </c>
      <c r="W253" t="inlineStr">
        <is>
          <t>1988-04-22</t>
        </is>
      </c>
      <c r="X253" t="inlineStr">
        <is>
          <t>1988-04-22</t>
        </is>
      </c>
      <c r="Y253" t="n">
        <v>197</v>
      </c>
      <c r="Z253" t="n">
        <v>144</v>
      </c>
      <c r="AA253" t="n">
        <v>160</v>
      </c>
      <c r="AB253" t="n">
        <v>3</v>
      </c>
      <c r="AC253" t="n">
        <v>3</v>
      </c>
      <c r="AD253" t="n">
        <v>8</v>
      </c>
      <c r="AE253" t="n">
        <v>9</v>
      </c>
      <c r="AF253" t="n">
        <v>0</v>
      </c>
      <c r="AG253" t="n">
        <v>1</v>
      </c>
      <c r="AH253" t="n">
        <v>4</v>
      </c>
      <c r="AI253" t="n">
        <v>4</v>
      </c>
      <c r="AJ253" t="n">
        <v>4</v>
      </c>
      <c r="AK253" t="n">
        <v>5</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HYPERLINK("https://creighton-primo.hosted.exlibrisgroup.com/primo-explore/search?tab=default_tab&amp;search_scope=EVERYTHING&amp;vid=01CRU&amp;lang=en_US&amp;offset=0&amp;query=any,contains,991001183369702656","Catalog Record")</f>
        <v/>
      </c>
      <c r="AT253">
        <f>HYPERLINK("http://www.worldcat.org/oclc/15790355","WorldCat Record")</f>
        <v/>
      </c>
      <c r="AU253" t="inlineStr">
        <is>
          <t>11528009:eng</t>
        </is>
      </c>
      <c r="AV253" t="inlineStr">
        <is>
          <t>15790355</t>
        </is>
      </c>
      <c r="AW253" t="inlineStr">
        <is>
          <t>991001183369702656</t>
        </is>
      </c>
      <c r="AX253" t="inlineStr">
        <is>
          <t>991001183369702656</t>
        </is>
      </c>
      <c r="AY253" t="inlineStr">
        <is>
          <t>22101749330002656</t>
        </is>
      </c>
      <c r="AZ253" t="inlineStr">
        <is>
          <t>BOOK</t>
        </is>
      </c>
      <c r="BB253" t="inlineStr">
        <is>
          <t>9780306426216</t>
        </is>
      </c>
      <c r="BC253" t="inlineStr">
        <is>
          <t>30001000977415</t>
        </is>
      </c>
      <c r="BD253" t="inlineStr">
        <is>
          <t>893121250</t>
        </is>
      </c>
    </row>
    <row r="254">
      <c r="A254" t="inlineStr">
        <is>
          <t>No</t>
        </is>
      </c>
      <c r="B254" t="inlineStr">
        <is>
          <t>QU 85 H236 1990 v.6</t>
        </is>
      </c>
      <c r="C254" t="inlineStr">
        <is>
          <t>0                      QU 0085000H  236         1990                                        v.6</t>
        </is>
      </c>
      <c r="D254" t="inlineStr">
        <is>
          <t>Glycolipids, phosphoglycolipids, and sulfoglycolipids / edited by Morris Kates.</t>
        </is>
      </c>
      <c r="E254" t="inlineStr">
        <is>
          <t>V.6</t>
        </is>
      </c>
      <c r="F254" t="inlineStr">
        <is>
          <t>No</t>
        </is>
      </c>
      <c r="G254" t="inlineStr">
        <is>
          <t>1</t>
        </is>
      </c>
      <c r="H254" t="inlineStr">
        <is>
          <t>No</t>
        </is>
      </c>
      <c r="I254" t="inlineStr">
        <is>
          <t>No</t>
        </is>
      </c>
      <c r="J254" t="inlineStr">
        <is>
          <t>0</t>
        </is>
      </c>
      <c r="L254" t="inlineStr">
        <is>
          <t>New York : Plenum Press, c1990.</t>
        </is>
      </c>
      <c r="M254" t="inlineStr">
        <is>
          <t>1990</t>
        </is>
      </c>
      <c r="O254" t="inlineStr">
        <is>
          <t>eng</t>
        </is>
      </c>
      <c r="P254" t="inlineStr">
        <is>
          <t>xxu</t>
        </is>
      </c>
      <c r="Q254" t="inlineStr">
        <is>
          <t>Handbook of lipid research ; v. 6</t>
        </is>
      </c>
      <c r="R254" t="inlineStr">
        <is>
          <t xml:space="preserve">QU </t>
        </is>
      </c>
      <c r="S254" t="n">
        <v>5</v>
      </c>
      <c r="T254" t="n">
        <v>5</v>
      </c>
      <c r="U254" t="inlineStr">
        <is>
          <t>1990-10-23</t>
        </is>
      </c>
      <c r="V254" t="inlineStr">
        <is>
          <t>1990-10-23</t>
        </is>
      </c>
      <c r="W254" t="inlineStr">
        <is>
          <t>1990-05-21</t>
        </is>
      </c>
      <c r="X254" t="inlineStr">
        <is>
          <t>1990-05-21</t>
        </is>
      </c>
      <c r="Y254" t="n">
        <v>160</v>
      </c>
      <c r="Z254" t="n">
        <v>110</v>
      </c>
      <c r="AA254" t="n">
        <v>127</v>
      </c>
      <c r="AB254" t="n">
        <v>1</v>
      </c>
      <c r="AC254" t="n">
        <v>1</v>
      </c>
      <c r="AD254" t="n">
        <v>5</v>
      </c>
      <c r="AE254" t="n">
        <v>6</v>
      </c>
      <c r="AF254" t="n">
        <v>1</v>
      </c>
      <c r="AG254" t="n">
        <v>2</v>
      </c>
      <c r="AH254" t="n">
        <v>4</v>
      </c>
      <c r="AI254" t="n">
        <v>4</v>
      </c>
      <c r="AJ254" t="n">
        <v>3</v>
      </c>
      <c r="AK254" t="n">
        <v>4</v>
      </c>
      <c r="AL254" t="n">
        <v>0</v>
      </c>
      <c r="AM254" t="n">
        <v>0</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HYPERLINK("https://creighton-primo.hosted.exlibrisgroup.com/primo-explore/search?tab=default_tab&amp;search_scope=EVERYTHING&amp;vid=01CRU&amp;lang=en_US&amp;offset=0&amp;query=any,contains,991001372679702656","Catalog Record")</f>
        <v/>
      </c>
      <c r="AT254">
        <f>HYPERLINK("http://www.worldcat.org/oclc/21195405","WorldCat Record")</f>
        <v/>
      </c>
      <c r="AU254" t="inlineStr">
        <is>
          <t>658800598:eng</t>
        </is>
      </c>
      <c r="AV254" t="inlineStr">
        <is>
          <t>21195405</t>
        </is>
      </c>
      <c r="AW254" t="inlineStr">
        <is>
          <t>991001372679702656</t>
        </is>
      </c>
      <c r="AX254" t="inlineStr">
        <is>
          <t>991001372679702656</t>
        </is>
      </c>
      <c r="AY254" t="inlineStr">
        <is>
          <t>2268885600002656</t>
        </is>
      </c>
      <c r="AZ254" t="inlineStr">
        <is>
          <t>BOOK</t>
        </is>
      </c>
      <c r="BB254" t="inlineStr">
        <is>
          <t>9780306433559</t>
        </is>
      </c>
      <c r="BC254" t="inlineStr">
        <is>
          <t>30001001797978</t>
        </is>
      </c>
      <c r="BD254" t="inlineStr">
        <is>
          <t>893451118</t>
        </is>
      </c>
    </row>
    <row r="255">
      <c r="A255" t="inlineStr">
        <is>
          <t>No</t>
        </is>
      </c>
      <c r="B255" t="inlineStr">
        <is>
          <t>QU 85 H236p 1986 v.4</t>
        </is>
      </c>
      <c r="C255" t="inlineStr">
        <is>
          <t>0                      QU 0085000H  236p        1986                                        v.4</t>
        </is>
      </c>
      <c r="D255" t="inlineStr">
        <is>
          <t>The physical chemistry of lipids : from alkanes to phospholipids / Donald M. Small with contributions by Bryan M. Craven ... [et al.].</t>
        </is>
      </c>
      <c r="E255" t="inlineStr">
        <is>
          <t>V.4</t>
        </is>
      </c>
      <c r="F255" t="inlineStr">
        <is>
          <t>No</t>
        </is>
      </c>
      <c r="G255" t="inlineStr">
        <is>
          <t>1</t>
        </is>
      </c>
      <c r="H255" t="inlineStr">
        <is>
          <t>No</t>
        </is>
      </c>
      <c r="I255" t="inlineStr">
        <is>
          <t>No</t>
        </is>
      </c>
      <c r="J255" t="inlineStr">
        <is>
          <t>0</t>
        </is>
      </c>
      <c r="K255" t="inlineStr">
        <is>
          <t>Small, Donald M.</t>
        </is>
      </c>
      <c r="L255" t="inlineStr">
        <is>
          <t>New York : Plenum Press, c1986.</t>
        </is>
      </c>
      <c r="M255" t="inlineStr">
        <is>
          <t>1986</t>
        </is>
      </c>
      <c r="O255" t="inlineStr">
        <is>
          <t>eng</t>
        </is>
      </c>
      <c r="P255" t="inlineStr">
        <is>
          <t>nyu</t>
        </is>
      </c>
      <c r="Q255" t="inlineStr">
        <is>
          <t>Handbook of lipid research ; v. 4</t>
        </is>
      </c>
      <c r="R255" t="inlineStr">
        <is>
          <t xml:space="preserve">QU </t>
        </is>
      </c>
      <c r="S255" t="n">
        <v>1</v>
      </c>
      <c r="T255" t="n">
        <v>1</v>
      </c>
      <c r="U255" t="inlineStr">
        <is>
          <t>1990-10-20</t>
        </is>
      </c>
      <c r="V255" t="inlineStr">
        <is>
          <t>1990-10-20</t>
        </is>
      </c>
      <c r="W255" t="inlineStr">
        <is>
          <t>1988-01-28</t>
        </is>
      </c>
      <c r="X255" t="inlineStr">
        <is>
          <t>1988-01-28</t>
        </is>
      </c>
      <c r="Y255" t="n">
        <v>254</v>
      </c>
      <c r="Z255" t="n">
        <v>198</v>
      </c>
      <c r="AA255" t="n">
        <v>198</v>
      </c>
      <c r="AB255" t="n">
        <v>1</v>
      </c>
      <c r="AC255" t="n">
        <v>1</v>
      </c>
      <c r="AD255" t="n">
        <v>9</v>
      </c>
      <c r="AE255" t="n">
        <v>9</v>
      </c>
      <c r="AF255" t="n">
        <v>3</v>
      </c>
      <c r="AG255" t="n">
        <v>3</v>
      </c>
      <c r="AH255" t="n">
        <v>5</v>
      </c>
      <c r="AI255" t="n">
        <v>5</v>
      </c>
      <c r="AJ255" t="n">
        <v>4</v>
      </c>
      <c r="AK255" t="n">
        <v>4</v>
      </c>
      <c r="AL255" t="n">
        <v>0</v>
      </c>
      <c r="AM255" t="n">
        <v>0</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HYPERLINK("https://creighton-primo.hosted.exlibrisgroup.com/primo-explore/search?tab=default_tab&amp;search_scope=EVERYTHING&amp;vid=01CRU&amp;lang=en_US&amp;offset=0&amp;query=any,contains,991000898959702656","Catalog Record")</f>
        <v/>
      </c>
      <c r="AT255">
        <f>HYPERLINK("http://www.worldcat.org/oclc/12586927","WorldCat Record")</f>
        <v/>
      </c>
      <c r="AU255" t="inlineStr">
        <is>
          <t>807291968:eng</t>
        </is>
      </c>
      <c r="AV255" t="inlineStr">
        <is>
          <t>12586927</t>
        </is>
      </c>
      <c r="AW255" t="inlineStr">
        <is>
          <t>991000898959702656</t>
        </is>
      </c>
      <c r="AX255" t="inlineStr">
        <is>
          <t>991000898959702656</t>
        </is>
      </c>
      <c r="AY255" t="inlineStr">
        <is>
          <t>22101749320002656</t>
        </is>
      </c>
      <c r="AZ255" t="inlineStr">
        <is>
          <t>BOOK</t>
        </is>
      </c>
      <c r="BB255" t="inlineStr">
        <is>
          <t>9780306417634</t>
        </is>
      </c>
      <c r="BC255" t="inlineStr">
        <is>
          <t>30001000159352</t>
        </is>
      </c>
      <c r="BD255" t="inlineStr">
        <is>
          <t>893815885</t>
        </is>
      </c>
    </row>
    <row r="256">
      <c r="A256" t="inlineStr">
        <is>
          <t>No</t>
        </is>
      </c>
      <c r="B256" t="inlineStr">
        <is>
          <t>QU 85 H236s 1983 v.3</t>
        </is>
      </c>
      <c r="C256" t="inlineStr">
        <is>
          <t>0                      QU 0085000H  236s        1983                                        v.3</t>
        </is>
      </c>
      <c r="D256" t="inlineStr">
        <is>
          <t>Sphingolipid biochemistry / Julian N. Kanfer and Sen-itiroh Hakamori.</t>
        </is>
      </c>
      <c r="E256" t="inlineStr">
        <is>
          <t>V.3</t>
        </is>
      </c>
      <c r="F256" t="inlineStr">
        <is>
          <t>No</t>
        </is>
      </c>
      <c r="G256" t="inlineStr">
        <is>
          <t>1</t>
        </is>
      </c>
      <c r="H256" t="inlineStr">
        <is>
          <t>No</t>
        </is>
      </c>
      <c r="I256" t="inlineStr">
        <is>
          <t>No</t>
        </is>
      </c>
      <c r="J256" t="inlineStr">
        <is>
          <t>0</t>
        </is>
      </c>
      <c r="K256" t="inlineStr">
        <is>
          <t>Kanfer, Julian N., 1930-</t>
        </is>
      </c>
      <c r="L256" t="inlineStr">
        <is>
          <t>New York : Plenum Press, c1983.</t>
        </is>
      </c>
      <c r="M256" t="inlineStr">
        <is>
          <t>1983</t>
        </is>
      </c>
      <c r="O256" t="inlineStr">
        <is>
          <t>eng</t>
        </is>
      </c>
      <c r="P256" t="inlineStr">
        <is>
          <t>nyu</t>
        </is>
      </c>
      <c r="Q256" t="inlineStr">
        <is>
          <t>Handbook of lipid research ; v. 3</t>
        </is>
      </c>
      <c r="R256" t="inlineStr">
        <is>
          <t xml:space="preserve">QU </t>
        </is>
      </c>
      <c r="S256" t="n">
        <v>3</v>
      </c>
      <c r="T256" t="n">
        <v>3</v>
      </c>
      <c r="U256" t="inlineStr">
        <is>
          <t>2003-09-30</t>
        </is>
      </c>
      <c r="V256" t="inlineStr">
        <is>
          <t>2003-09-30</t>
        </is>
      </c>
      <c r="W256" t="inlineStr">
        <is>
          <t>1988-01-29</t>
        </is>
      </c>
      <c r="X256" t="inlineStr">
        <is>
          <t>1988-01-29</t>
        </is>
      </c>
      <c r="Y256" t="n">
        <v>185</v>
      </c>
      <c r="Z256" t="n">
        <v>144</v>
      </c>
      <c r="AA256" t="n">
        <v>160</v>
      </c>
      <c r="AB256" t="n">
        <v>2</v>
      </c>
      <c r="AC256" t="n">
        <v>2</v>
      </c>
      <c r="AD256" t="n">
        <v>6</v>
      </c>
      <c r="AE256" t="n">
        <v>7</v>
      </c>
      <c r="AF256" t="n">
        <v>1</v>
      </c>
      <c r="AG256" t="n">
        <v>2</v>
      </c>
      <c r="AH256" t="n">
        <v>5</v>
      </c>
      <c r="AI256" t="n">
        <v>5</v>
      </c>
      <c r="AJ256" t="n">
        <v>2</v>
      </c>
      <c r="AK256" t="n">
        <v>3</v>
      </c>
      <c r="AL256" t="n">
        <v>1</v>
      </c>
      <c r="AM256" t="n">
        <v>1</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HYPERLINK("https://creighton-primo.hosted.exlibrisgroup.com/primo-explore/search?tab=default_tab&amp;search_scope=EVERYTHING&amp;vid=01CRU&amp;lang=en_US&amp;offset=0&amp;query=any,contains,991000898919702656","Catalog Record")</f>
        <v/>
      </c>
      <c r="AT256">
        <f>HYPERLINK("http://www.worldcat.org/oclc/9557495","WorldCat Record")</f>
        <v/>
      </c>
      <c r="AU256" t="inlineStr">
        <is>
          <t>495837856:eng</t>
        </is>
      </c>
      <c r="AV256" t="inlineStr">
        <is>
          <t>9557495</t>
        </is>
      </c>
      <c r="AW256" t="inlineStr">
        <is>
          <t>991000898919702656</t>
        </is>
      </c>
      <c r="AX256" t="inlineStr">
        <is>
          <t>991000898919702656</t>
        </is>
      </c>
      <c r="AY256" t="inlineStr">
        <is>
          <t>2266660540002656</t>
        </is>
      </c>
      <c r="AZ256" t="inlineStr">
        <is>
          <t>BOOK</t>
        </is>
      </c>
      <c r="BB256" t="inlineStr">
        <is>
          <t>9780306410925</t>
        </is>
      </c>
      <c r="BC256" t="inlineStr">
        <is>
          <t>30001000159345</t>
        </is>
      </c>
      <c r="BD256" t="inlineStr">
        <is>
          <t>893363513</t>
        </is>
      </c>
    </row>
    <row r="257">
      <c r="A257" t="inlineStr">
        <is>
          <t>No</t>
        </is>
      </c>
      <c r="B257" t="inlineStr">
        <is>
          <t>QU 85 I5916L 1980</t>
        </is>
      </c>
      <c r="C257" t="inlineStr">
        <is>
          <t>0                      QU 0085000I  5916L       1980</t>
        </is>
      </c>
      <c r="D257" t="inlineStr">
        <is>
          <t>Lipid metabolism and its pathology / edited by M.J. Halpern.</t>
        </is>
      </c>
      <c r="F257" t="inlineStr">
        <is>
          <t>No</t>
        </is>
      </c>
      <c r="G257" t="inlineStr">
        <is>
          <t>1</t>
        </is>
      </c>
      <c r="H257" t="inlineStr">
        <is>
          <t>No</t>
        </is>
      </c>
      <c r="I257" t="inlineStr">
        <is>
          <t>No</t>
        </is>
      </c>
      <c r="J257" t="inlineStr">
        <is>
          <t>0</t>
        </is>
      </c>
      <c r="K257" t="inlineStr">
        <is>
          <t>International Colloquium on Lipid Metabolism and Its Pathology (1980 : Lisbon, Portugal)</t>
        </is>
      </c>
      <c r="L257" t="inlineStr">
        <is>
          <t>New York : Plenum Press, c1985.</t>
        </is>
      </c>
      <c r="M257" t="inlineStr">
        <is>
          <t>1985</t>
        </is>
      </c>
      <c r="O257" t="inlineStr">
        <is>
          <t>eng</t>
        </is>
      </c>
      <c r="P257" t="inlineStr">
        <is>
          <t>xxu</t>
        </is>
      </c>
      <c r="R257" t="inlineStr">
        <is>
          <t xml:space="preserve">QU </t>
        </is>
      </c>
      <c r="S257" t="n">
        <v>4</v>
      </c>
      <c r="T257" t="n">
        <v>4</v>
      </c>
      <c r="U257" t="inlineStr">
        <is>
          <t>1990-02-08</t>
        </is>
      </c>
      <c r="V257" t="inlineStr">
        <is>
          <t>1990-02-08</t>
        </is>
      </c>
      <c r="W257" t="inlineStr">
        <is>
          <t>1988-01-28</t>
        </is>
      </c>
      <c r="X257" t="inlineStr">
        <is>
          <t>1988-01-28</t>
        </is>
      </c>
      <c r="Y257" t="n">
        <v>107</v>
      </c>
      <c r="Z257" t="n">
        <v>83</v>
      </c>
      <c r="AA257" t="n">
        <v>111</v>
      </c>
      <c r="AB257" t="n">
        <v>1</v>
      </c>
      <c r="AC257" t="n">
        <v>1</v>
      </c>
      <c r="AD257" t="n">
        <v>1</v>
      </c>
      <c r="AE257" t="n">
        <v>2</v>
      </c>
      <c r="AF257" t="n">
        <v>0</v>
      </c>
      <c r="AG257" t="n">
        <v>1</v>
      </c>
      <c r="AH257" t="n">
        <v>1</v>
      </c>
      <c r="AI257" t="n">
        <v>1</v>
      </c>
      <c r="AJ257" t="n">
        <v>0</v>
      </c>
      <c r="AK257" t="n">
        <v>1</v>
      </c>
      <c r="AL257" t="n">
        <v>0</v>
      </c>
      <c r="AM257" t="n">
        <v>0</v>
      </c>
      <c r="AN257" t="n">
        <v>0</v>
      </c>
      <c r="AO257" t="n">
        <v>0</v>
      </c>
      <c r="AP257" t="inlineStr">
        <is>
          <t>No</t>
        </is>
      </c>
      <c r="AQ257" t="inlineStr">
        <is>
          <t>Yes</t>
        </is>
      </c>
      <c r="AR257">
        <f>HYPERLINK("http://catalog.hathitrust.org/Record/000653753","HathiTrust Record")</f>
        <v/>
      </c>
      <c r="AS257">
        <f>HYPERLINK("https://creighton-primo.hosted.exlibrisgroup.com/primo-explore/search?tab=default_tab&amp;search_scope=EVERYTHING&amp;vid=01CRU&amp;lang=en_US&amp;offset=0&amp;query=any,contains,991000899059702656","Catalog Record")</f>
        <v/>
      </c>
      <c r="AT257">
        <f>HYPERLINK("http://www.worldcat.org/oclc/11532294","WorldCat Record")</f>
        <v/>
      </c>
      <c r="AU257" t="inlineStr">
        <is>
          <t>4134030:eng</t>
        </is>
      </c>
      <c r="AV257" t="inlineStr">
        <is>
          <t>11532294</t>
        </is>
      </c>
      <c r="AW257" t="inlineStr">
        <is>
          <t>991000899059702656</t>
        </is>
      </c>
      <c r="AX257" t="inlineStr">
        <is>
          <t>991000899059702656</t>
        </is>
      </c>
      <c r="AY257" t="inlineStr">
        <is>
          <t>2263447480002656</t>
        </is>
      </c>
      <c r="AZ257" t="inlineStr">
        <is>
          <t>BOOK</t>
        </is>
      </c>
      <c r="BB257" t="inlineStr">
        <is>
          <t>9780306418990</t>
        </is>
      </c>
      <c r="BC257" t="inlineStr">
        <is>
          <t>30001000159469</t>
        </is>
      </c>
      <c r="BD257" t="inlineStr">
        <is>
          <t>893731498</t>
        </is>
      </c>
    </row>
    <row r="258">
      <c r="A258" t="inlineStr">
        <is>
          <t>No</t>
        </is>
      </c>
      <c r="B258" t="inlineStr">
        <is>
          <t>QU 85 I596 1989d</t>
        </is>
      </c>
      <c r="C258" t="inlineStr">
        <is>
          <t>0                      QU 0085000I  596         1989d</t>
        </is>
      </c>
      <c r="D258" t="inlineStr">
        <is>
          <t>Drugs affecting lipid metabolism X : proceedings of the Xth International Symposium on Drugs Affecting Lipid Metabolism, Texas, 8-11 November 1989 / chairman, Antonio M. Gotto, Jr., and Rodolfo Paoletti ; editors, Antonio M. Gotto, Jr., Louis C. Smith.</t>
        </is>
      </c>
      <c r="F258" t="inlineStr">
        <is>
          <t>No</t>
        </is>
      </c>
      <c r="G258" t="inlineStr">
        <is>
          <t>1</t>
        </is>
      </c>
      <c r="H258" t="inlineStr">
        <is>
          <t>No</t>
        </is>
      </c>
      <c r="I258" t="inlineStr">
        <is>
          <t>No</t>
        </is>
      </c>
      <c r="J258" t="inlineStr">
        <is>
          <t>0</t>
        </is>
      </c>
      <c r="K258" t="inlineStr">
        <is>
          <t>International Symposium on Drugs Affecting Lipid Metabolism (10th : 1989 : Houston, Tex.)</t>
        </is>
      </c>
      <c r="L258" t="inlineStr">
        <is>
          <t>Amsterdam ; New York : Excerpta Medica ; New York, NY, USA : Sole distributors for the U.S.A. and Canada, Elsevier Science Pub. Co., c1990.</t>
        </is>
      </c>
      <c r="M258" t="inlineStr">
        <is>
          <t>1990</t>
        </is>
      </c>
      <c r="O258" t="inlineStr">
        <is>
          <t>eng</t>
        </is>
      </c>
      <c r="P258" t="inlineStr">
        <is>
          <t xml:space="preserve">ne </t>
        </is>
      </c>
      <c r="Q258" t="inlineStr">
        <is>
          <t>International congress series ; no. 905</t>
        </is>
      </c>
      <c r="R258" t="inlineStr">
        <is>
          <t xml:space="preserve">QU </t>
        </is>
      </c>
      <c r="S258" t="n">
        <v>5</v>
      </c>
      <c r="T258" t="n">
        <v>5</v>
      </c>
      <c r="U258" t="inlineStr">
        <is>
          <t>1994-01-17</t>
        </is>
      </c>
      <c r="V258" t="inlineStr">
        <is>
          <t>1994-01-17</t>
        </is>
      </c>
      <c r="W258" t="inlineStr">
        <is>
          <t>1991-03-28</t>
        </is>
      </c>
      <c r="X258" t="inlineStr">
        <is>
          <t>1991-03-28</t>
        </is>
      </c>
      <c r="Y258" t="n">
        <v>63</v>
      </c>
      <c r="Z258" t="n">
        <v>52</v>
      </c>
      <c r="AA258" t="n">
        <v>55</v>
      </c>
      <c r="AB258" t="n">
        <v>1</v>
      </c>
      <c r="AC258" t="n">
        <v>1</v>
      </c>
      <c r="AD258" t="n">
        <v>0</v>
      </c>
      <c r="AE258" t="n">
        <v>0</v>
      </c>
      <c r="AF258" t="n">
        <v>0</v>
      </c>
      <c r="AG258" t="n">
        <v>0</v>
      </c>
      <c r="AH258" t="n">
        <v>0</v>
      </c>
      <c r="AI258" t="n">
        <v>0</v>
      </c>
      <c r="AJ258" t="n">
        <v>0</v>
      </c>
      <c r="AK258" t="n">
        <v>0</v>
      </c>
      <c r="AL258" t="n">
        <v>0</v>
      </c>
      <c r="AM258" t="n">
        <v>0</v>
      </c>
      <c r="AN258" t="n">
        <v>0</v>
      </c>
      <c r="AO258" t="n">
        <v>0</v>
      </c>
      <c r="AP258" t="inlineStr">
        <is>
          <t>No</t>
        </is>
      </c>
      <c r="AQ258" t="inlineStr">
        <is>
          <t>Yes</t>
        </is>
      </c>
      <c r="AR258">
        <f>HYPERLINK("http://catalog.hathitrust.org/Record/002443415","HathiTrust Record")</f>
        <v/>
      </c>
      <c r="AS258">
        <f>HYPERLINK("https://creighton-primo.hosted.exlibrisgroup.com/primo-explore/search?tab=default_tab&amp;search_scope=EVERYTHING&amp;vid=01CRU&amp;lang=en_US&amp;offset=0&amp;query=any,contains,991000827529702656","Catalog Record")</f>
        <v/>
      </c>
      <c r="AT258">
        <f>HYPERLINK("http://www.worldcat.org/oclc/22665298","WorldCat Record")</f>
        <v/>
      </c>
      <c r="AU258" t="inlineStr">
        <is>
          <t>355551633:eng</t>
        </is>
      </c>
      <c r="AV258" t="inlineStr">
        <is>
          <t>22665298</t>
        </is>
      </c>
      <c r="AW258" t="inlineStr">
        <is>
          <t>991000827529702656</t>
        </is>
      </c>
      <c r="AX258" t="inlineStr">
        <is>
          <t>991000827529702656</t>
        </is>
      </c>
      <c r="AY258" t="inlineStr">
        <is>
          <t>2257252050002656</t>
        </is>
      </c>
      <c r="AZ258" t="inlineStr">
        <is>
          <t>BOOK</t>
        </is>
      </c>
      <c r="BB258" t="inlineStr">
        <is>
          <t>9780444812018</t>
        </is>
      </c>
      <c r="BC258" t="inlineStr">
        <is>
          <t>30001002089474</t>
        </is>
      </c>
      <c r="BD258" t="inlineStr">
        <is>
          <t>893735841</t>
        </is>
      </c>
    </row>
    <row r="259">
      <c r="A259" t="inlineStr">
        <is>
          <t>No</t>
        </is>
      </c>
      <c r="B259" t="inlineStr">
        <is>
          <t>QU 85 K11L 1988</t>
        </is>
      </c>
      <c r="C259" t="inlineStr">
        <is>
          <t>0                      QU 0085000K  11L         1988</t>
        </is>
      </c>
      <c r="D259" t="inlineStr">
        <is>
          <t>Lipid peroxidation in biomembranes / author, Valerian E. Kagan.</t>
        </is>
      </c>
      <c r="F259" t="inlineStr">
        <is>
          <t>No</t>
        </is>
      </c>
      <c r="G259" t="inlineStr">
        <is>
          <t>1</t>
        </is>
      </c>
      <c r="H259" t="inlineStr">
        <is>
          <t>No</t>
        </is>
      </c>
      <c r="I259" t="inlineStr">
        <is>
          <t>No</t>
        </is>
      </c>
      <c r="J259" t="inlineStr">
        <is>
          <t>0</t>
        </is>
      </c>
      <c r="K259" t="inlineStr">
        <is>
          <t>Kagan, Valerian E.</t>
        </is>
      </c>
      <c r="L259" t="inlineStr">
        <is>
          <t>Boca Raton, Fla. : CRC Press, c1988.</t>
        </is>
      </c>
      <c r="M259" t="inlineStr">
        <is>
          <t>1988</t>
        </is>
      </c>
      <c r="O259" t="inlineStr">
        <is>
          <t>eng</t>
        </is>
      </c>
      <c r="P259" t="inlineStr">
        <is>
          <t>xxu</t>
        </is>
      </c>
      <c r="R259" t="inlineStr">
        <is>
          <t xml:space="preserve">QU </t>
        </is>
      </c>
      <c r="S259" t="n">
        <v>6</v>
      </c>
      <c r="T259" t="n">
        <v>6</v>
      </c>
      <c r="U259" t="inlineStr">
        <is>
          <t>1992-06-30</t>
        </is>
      </c>
      <c r="V259" t="inlineStr">
        <is>
          <t>1992-06-30</t>
        </is>
      </c>
      <c r="W259" t="inlineStr">
        <is>
          <t>1989-08-29</t>
        </is>
      </c>
      <c r="X259" t="inlineStr">
        <is>
          <t>1989-08-29</t>
        </is>
      </c>
      <c r="Y259" t="n">
        <v>147</v>
      </c>
      <c r="Z259" t="n">
        <v>107</v>
      </c>
      <c r="AA259" t="n">
        <v>147</v>
      </c>
      <c r="AB259" t="n">
        <v>2</v>
      </c>
      <c r="AC259" t="n">
        <v>2</v>
      </c>
      <c r="AD259" t="n">
        <v>5</v>
      </c>
      <c r="AE259" t="n">
        <v>5</v>
      </c>
      <c r="AF259" t="n">
        <v>1</v>
      </c>
      <c r="AG259" t="n">
        <v>1</v>
      </c>
      <c r="AH259" t="n">
        <v>2</v>
      </c>
      <c r="AI259" t="n">
        <v>2</v>
      </c>
      <c r="AJ259" t="n">
        <v>2</v>
      </c>
      <c r="AK259" t="n">
        <v>2</v>
      </c>
      <c r="AL259" t="n">
        <v>1</v>
      </c>
      <c r="AM259" t="n">
        <v>1</v>
      </c>
      <c r="AN259" t="n">
        <v>0</v>
      </c>
      <c r="AO259" t="n">
        <v>0</v>
      </c>
      <c r="AP259" t="inlineStr">
        <is>
          <t>No</t>
        </is>
      </c>
      <c r="AQ259" t="inlineStr">
        <is>
          <t>Yes</t>
        </is>
      </c>
      <c r="AR259">
        <f>HYPERLINK("http://catalog.hathitrust.org/Record/000917640","HathiTrust Record")</f>
        <v/>
      </c>
      <c r="AS259">
        <f>HYPERLINK("https://creighton-primo.hosted.exlibrisgroup.com/primo-explore/search?tab=default_tab&amp;search_scope=EVERYTHING&amp;vid=01CRU&amp;lang=en_US&amp;offset=0&amp;query=any,contains,991001314059702656","Catalog Record")</f>
        <v/>
      </c>
      <c r="AT259">
        <f>HYPERLINK("http://www.worldcat.org/oclc/16406005","WorldCat Record")</f>
        <v/>
      </c>
      <c r="AU259" t="inlineStr">
        <is>
          <t>11976512:eng</t>
        </is>
      </c>
      <c r="AV259" t="inlineStr">
        <is>
          <t>16406005</t>
        </is>
      </c>
      <c r="AW259" t="inlineStr">
        <is>
          <t>991001314059702656</t>
        </is>
      </c>
      <c r="AX259" t="inlineStr">
        <is>
          <t>991001314059702656</t>
        </is>
      </c>
      <c r="AY259" t="inlineStr">
        <is>
          <t>2267806340002656</t>
        </is>
      </c>
      <c r="AZ259" t="inlineStr">
        <is>
          <t>BOOK</t>
        </is>
      </c>
      <c r="BB259" t="inlineStr">
        <is>
          <t>9780849369230</t>
        </is>
      </c>
      <c r="BC259" t="inlineStr">
        <is>
          <t>30001001752080</t>
        </is>
      </c>
      <c r="BD259" t="inlineStr">
        <is>
          <t>893374440</t>
        </is>
      </c>
    </row>
    <row r="260">
      <c r="A260" t="inlineStr">
        <is>
          <t>No</t>
        </is>
      </c>
      <c r="B260" t="inlineStr">
        <is>
          <t>QU 85 L7645 1982 v.1-2</t>
        </is>
      </c>
      <c r="C260" t="inlineStr">
        <is>
          <t>0                      QU 0085000L  7645        1982                                        v.1-2</t>
        </is>
      </c>
      <c r="D260" t="inlineStr">
        <is>
          <t>Lipid-protein interactions / edited by Patricia C. Jost and O. Hayes Griffith.</t>
        </is>
      </c>
      <c r="E260" t="inlineStr">
        <is>
          <t>V. 1</t>
        </is>
      </c>
      <c r="F260" t="inlineStr">
        <is>
          <t>Yes</t>
        </is>
      </c>
      <c r="G260" t="inlineStr">
        <is>
          <t>1</t>
        </is>
      </c>
      <c r="H260" t="inlineStr">
        <is>
          <t>No</t>
        </is>
      </c>
      <c r="I260" t="inlineStr">
        <is>
          <t>No</t>
        </is>
      </c>
      <c r="J260" t="inlineStr">
        <is>
          <t>0</t>
        </is>
      </c>
      <c r="L260" t="inlineStr">
        <is>
          <t>New York : Wiley, c1982.</t>
        </is>
      </c>
      <c r="M260" t="inlineStr">
        <is>
          <t>1982</t>
        </is>
      </c>
      <c r="O260" t="inlineStr">
        <is>
          <t>eng</t>
        </is>
      </c>
      <c r="P260" t="inlineStr">
        <is>
          <t>xxu</t>
        </is>
      </c>
      <c r="Q260" t="inlineStr">
        <is>
          <t>Wiley-Interscience publication</t>
        </is>
      </c>
      <c r="R260" t="inlineStr">
        <is>
          <t xml:space="preserve">QU </t>
        </is>
      </c>
      <c r="S260" t="n">
        <v>1</v>
      </c>
      <c r="T260" t="n">
        <v>4</v>
      </c>
      <c r="V260" t="inlineStr">
        <is>
          <t>1990-10-20</t>
        </is>
      </c>
      <c r="W260" t="inlineStr">
        <is>
          <t>1988-01-28</t>
        </is>
      </c>
      <c r="X260" t="inlineStr">
        <is>
          <t>1988-01-28</t>
        </is>
      </c>
      <c r="Y260" t="n">
        <v>229</v>
      </c>
      <c r="Z260" t="n">
        <v>174</v>
      </c>
      <c r="AA260" t="n">
        <v>176</v>
      </c>
      <c r="AB260" t="n">
        <v>2</v>
      </c>
      <c r="AC260" t="n">
        <v>2</v>
      </c>
      <c r="AD260" t="n">
        <v>5</v>
      </c>
      <c r="AE260" t="n">
        <v>5</v>
      </c>
      <c r="AF260" t="n">
        <v>1</v>
      </c>
      <c r="AG260" t="n">
        <v>1</v>
      </c>
      <c r="AH260" t="n">
        <v>2</v>
      </c>
      <c r="AI260" t="n">
        <v>2</v>
      </c>
      <c r="AJ260" t="n">
        <v>1</v>
      </c>
      <c r="AK260" t="n">
        <v>1</v>
      </c>
      <c r="AL260" t="n">
        <v>1</v>
      </c>
      <c r="AM260" t="n">
        <v>1</v>
      </c>
      <c r="AN260" t="n">
        <v>0</v>
      </c>
      <c r="AO260" t="n">
        <v>0</v>
      </c>
      <c r="AP260" t="inlineStr">
        <is>
          <t>No</t>
        </is>
      </c>
      <c r="AQ260" t="inlineStr">
        <is>
          <t>Yes</t>
        </is>
      </c>
      <c r="AR260">
        <f>HYPERLINK("http://catalog.hathitrust.org/Record/000107016","HathiTrust Record")</f>
        <v/>
      </c>
      <c r="AS260">
        <f>HYPERLINK("https://creighton-primo.hosted.exlibrisgroup.com/primo-explore/search?tab=default_tab&amp;search_scope=EVERYTHING&amp;vid=01CRU&amp;lang=en_US&amp;offset=0&amp;query=any,contains,991000899099702656","Catalog Record")</f>
        <v/>
      </c>
      <c r="AT260">
        <f>HYPERLINK("http://www.worldcat.org/oclc/7946445","WorldCat Record")</f>
        <v/>
      </c>
      <c r="AU260" t="inlineStr">
        <is>
          <t>355982911:eng</t>
        </is>
      </c>
      <c r="AV260" t="inlineStr">
        <is>
          <t>7946445</t>
        </is>
      </c>
      <c r="AW260" t="inlineStr">
        <is>
          <t>991000899099702656</t>
        </is>
      </c>
      <c r="AX260" t="inlineStr">
        <is>
          <t>991000899099702656</t>
        </is>
      </c>
      <c r="AY260" t="inlineStr">
        <is>
          <t>2269682780002656</t>
        </is>
      </c>
      <c r="AZ260" t="inlineStr">
        <is>
          <t>BOOK</t>
        </is>
      </c>
      <c r="BB260" t="inlineStr">
        <is>
          <t>9780471064565</t>
        </is>
      </c>
      <c r="BC260" t="inlineStr">
        <is>
          <t>30001000159477</t>
        </is>
      </c>
      <c r="BD260" t="inlineStr">
        <is>
          <t>893284012</t>
        </is>
      </c>
    </row>
    <row r="261">
      <c r="A261" t="inlineStr">
        <is>
          <t>No</t>
        </is>
      </c>
      <c r="B261" t="inlineStr">
        <is>
          <t>QU 85 L7645 1982 v.1-2</t>
        </is>
      </c>
      <c r="C261" t="inlineStr">
        <is>
          <t>0                      QU 0085000L  7645        1982                                        v.1-2</t>
        </is>
      </c>
      <c r="D261" t="inlineStr">
        <is>
          <t>Lipid-protein interactions / edited by Patricia C. Jost and O. Hayes Griffith.</t>
        </is>
      </c>
      <c r="E261" t="inlineStr">
        <is>
          <t>V. 2</t>
        </is>
      </c>
      <c r="F261" t="inlineStr">
        <is>
          <t>Yes</t>
        </is>
      </c>
      <c r="G261" t="inlineStr">
        <is>
          <t>1</t>
        </is>
      </c>
      <c r="H261" t="inlineStr">
        <is>
          <t>No</t>
        </is>
      </c>
      <c r="I261" t="inlineStr">
        <is>
          <t>No</t>
        </is>
      </c>
      <c r="J261" t="inlineStr">
        <is>
          <t>0</t>
        </is>
      </c>
      <c r="L261" t="inlineStr">
        <is>
          <t>New York : Wiley, c1982.</t>
        </is>
      </c>
      <c r="M261" t="inlineStr">
        <is>
          <t>1982</t>
        </is>
      </c>
      <c r="O261" t="inlineStr">
        <is>
          <t>eng</t>
        </is>
      </c>
      <c r="P261" t="inlineStr">
        <is>
          <t>xxu</t>
        </is>
      </c>
      <c r="Q261" t="inlineStr">
        <is>
          <t>Wiley-Interscience publication</t>
        </is>
      </c>
      <c r="R261" t="inlineStr">
        <is>
          <t xml:space="preserve">QU </t>
        </is>
      </c>
      <c r="S261" t="n">
        <v>3</v>
      </c>
      <c r="T261" t="n">
        <v>4</v>
      </c>
      <c r="U261" t="inlineStr">
        <is>
          <t>1990-10-20</t>
        </is>
      </c>
      <c r="V261" t="inlineStr">
        <is>
          <t>1990-10-20</t>
        </is>
      </c>
      <c r="W261" t="inlineStr">
        <is>
          <t>1988-01-28</t>
        </is>
      </c>
      <c r="X261" t="inlineStr">
        <is>
          <t>1988-01-28</t>
        </is>
      </c>
      <c r="Y261" t="n">
        <v>229</v>
      </c>
      <c r="Z261" t="n">
        <v>174</v>
      </c>
      <c r="AA261" t="n">
        <v>176</v>
      </c>
      <c r="AB261" t="n">
        <v>2</v>
      </c>
      <c r="AC261" t="n">
        <v>2</v>
      </c>
      <c r="AD261" t="n">
        <v>5</v>
      </c>
      <c r="AE261" t="n">
        <v>5</v>
      </c>
      <c r="AF261" t="n">
        <v>1</v>
      </c>
      <c r="AG261" t="n">
        <v>1</v>
      </c>
      <c r="AH261" t="n">
        <v>2</v>
      </c>
      <c r="AI261" t="n">
        <v>2</v>
      </c>
      <c r="AJ261" t="n">
        <v>1</v>
      </c>
      <c r="AK261" t="n">
        <v>1</v>
      </c>
      <c r="AL261" t="n">
        <v>1</v>
      </c>
      <c r="AM261" t="n">
        <v>1</v>
      </c>
      <c r="AN261" t="n">
        <v>0</v>
      </c>
      <c r="AO261" t="n">
        <v>0</v>
      </c>
      <c r="AP261" t="inlineStr">
        <is>
          <t>No</t>
        </is>
      </c>
      <c r="AQ261" t="inlineStr">
        <is>
          <t>Yes</t>
        </is>
      </c>
      <c r="AR261">
        <f>HYPERLINK("http://catalog.hathitrust.org/Record/000107016","HathiTrust Record")</f>
        <v/>
      </c>
      <c r="AS261">
        <f>HYPERLINK("https://creighton-primo.hosted.exlibrisgroup.com/primo-explore/search?tab=default_tab&amp;search_scope=EVERYTHING&amp;vid=01CRU&amp;lang=en_US&amp;offset=0&amp;query=any,contains,991000899099702656","Catalog Record")</f>
        <v/>
      </c>
      <c r="AT261">
        <f>HYPERLINK("http://www.worldcat.org/oclc/7946445","WorldCat Record")</f>
        <v/>
      </c>
      <c r="AU261" t="inlineStr">
        <is>
          <t>355982911:eng</t>
        </is>
      </c>
      <c r="AV261" t="inlineStr">
        <is>
          <t>7946445</t>
        </is>
      </c>
      <c r="AW261" t="inlineStr">
        <is>
          <t>991000899099702656</t>
        </is>
      </c>
      <c r="AX261" t="inlineStr">
        <is>
          <t>991000899099702656</t>
        </is>
      </c>
      <c r="AY261" t="inlineStr">
        <is>
          <t>2269682780002656</t>
        </is>
      </c>
      <c r="AZ261" t="inlineStr">
        <is>
          <t>BOOK</t>
        </is>
      </c>
      <c r="BB261" t="inlineStr">
        <is>
          <t>9780471064565</t>
        </is>
      </c>
      <c r="BC261" t="inlineStr">
        <is>
          <t>30001000159485</t>
        </is>
      </c>
      <c r="BD261" t="inlineStr">
        <is>
          <t>893287089</t>
        </is>
      </c>
    </row>
    <row r="262">
      <c r="A262" t="inlineStr">
        <is>
          <t>No</t>
        </is>
      </c>
      <c r="B262" t="inlineStr">
        <is>
          <t>QU 85 L7646 1992</t>
        </is>
      </c>
      <c r="C262" t="inlineStr">
        <is>
          <t>0                      QU 0085000L  7646        1992</t>
        </is>
      </c>
      <c r="D262" t="inlineStr">
        <is>
          <t>Lipid analysis : a practical approach / edited by Richard John Hamilton and Shiela Hamilton.</t>
        </is>
      </c>
      <c r="F262" t="inlineStr">
        <is>
          <t>No</t>
        </is>
      </c>
      <c r="G262" t="inlineStr">
        <is>
          <t>1</t>
        </is>
      </c>
      <c r="H262" t="inlineStr">
        <is>
          <t>No</t>
        </is>
      </c>
      <c r="I262" t="inlineStr">
        <is>
          <t>No</t>
        </is>
      </c>
      <c r="J262" t="inlineStr">
        <is>
          <t>0</t>
        </is>
      </c>
      <c r="L262" t="inlineStr">
        <is>
          <t>Oxford ; New York : IRL Press at Oxford University Press, c1992.</t>
        </is>
      </c>
      <c r="M262" t="inlineStr">
        <is>
          <t>1992</t>
        </is>
      </c>
      <c r="O262" t="inlineStr">
        <is>
          <t>eng</t>
        </is>
      </c>
      <c r="P262" t="inlineStr">
        <is>
          <t>enk</t>
        </is>
      </c>
      <c r="Q262" t="inlineStr">
        <is>
          <t>The Practical approach series</t>
        </is>
      </c>
      <c r="R262" t="inlineStr">
        <is>
          <t xml:space="preserve">QU </t>
        </is>
      </c>
      <c r="S262" t="n">
        <v>7</v>
      </c>
      <c r="T262" t="n">
        <v>7</v>
      </c>
      <c r="U262" t="inlineStr">
        <is>
          <t>2001-03-01</t>
        </is>
      </c>
      <c r="V262" t="inlineStr">
        <is>
          <t>2001-03-01</t>
        </is>
      </c>
      <c r="W262" t="inlineStr">
        <is>
          <t>1995-02-08</t>
        </is>
      </c>
      <c r="X262" t="inlineStr">
        <is>
          <t>1995-02-08</t>
        </is>
      </c>
      <c r="Y262" t="n">
        <v>168</v>
      </c>
      <c r="Z262" t="n">
        <v>97</v>
      </c>
      <c r="AA262" t="n">
        <v>98</v>
      </c>
      <c r="AB262" t="n">
        <v>1</v>
      </c>
      <c r="AC262" t="n">
        <v>1</v>
      </c>
      <c r="AD262" t="n">
        <v>2</v>
      </c>
      <c r="AE262" t="n">
        <v>2</v>
      </c>
      <c r="AF262" t="n">
        <v>1</v>
      </c>
      <c r="AG262" t="n">
        <v>1</v>
      </c>
      <c r="AH262" t="n">
        <v>0</v>
      </c>
      <c r="AI262" t="n">
        <v>0</v>
      </c>
      <c r="AJ262" t="n">
        <v>2</v>
      </c>
      <c r="AK262" t="n">
        <v>2</v>
      </c>
      <c r="AL262" t="n">
        <v>0</v>
      </c>
      <c r="AM262" t="n">
        <v>0</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HYPERLINK("https://creighton-primo.hosted.exlibrisgroup.com/primo-explore/search?tab=default_tab&amp;search_scope=EVERYTHING&amp;vid=01CRU&amp;lang=en_US&amp;offset=0&amp;query=any,contains,991000686559702656","Catalog Record")</f>
        <v/>
      </c>
      <c r="AT262">
        <f>HYPERLINK("http://www.worldcat.org/oclc/26094728","WorldCat Record")</f>
        <v/>
      </c>
      <c r="AU262" t="inlineStr">
        <is>
          <t>806763020:eng</t>
        </is>
      </c>
      <c r="AV262" t="inlineStr">
        <is>
          <t>26094728</t>
        </is>
      </c>
      <c r="AW262" t="inlineStr">
        <is>
          <t>991000686559702656</t>
        </is>
      </c>
      <c r="AX262" t="inlineStr">
        <is>
          <t>991000686559702656</t>
        </is>
      </c>
      <c r="AY262" t="inlineStr">
        <is>
          <t>2269379560002656</t>
        </is>
      </c>
      <c r="AZ262" t="inlineStr">
        <is>
          <t>BOOK</t>
        </is>
      </c>
      <c r="BB262" t="inlineStr">
        <is>
          <t>9780199630981</t>
        </is>
      </c>
      <c r="BC262" t="inlineStr">
        <is>
          <t>30001002699181</t>
        </is>
      </c>
      <c r="BD262" t="inlineStr">
        <is>
          <t>893739977</t>
        </is>
      </c>
    </row>
    <row r="263">
      <c r="A263" t="inlineStr">
        <is>
          <t>No</t>
        </is>
      </c>
      <c r="B263" t="inlineStr">
        <is>
          <t>QU 85 L7647 1992</t>
        </is>
      </c>
      <c r="C263" t="inlineStr">
        <is>
          <t>0                      QU 0085000L  7647        1992</t>
        </is>
      </c>
      <c r="D263" t="inlineStr">
        <is>
          <t>Lipid modification of proteins : a practical approach / edited by N.M. Hooper and A.J. Turner.</t>
        </is>
      </c>
      <c r="F263" t="inlineStr">
        <is>
          <t>No</t>
        </is>
      </c>
      <c r="G263" t="inlineStr">
        <is>
          <t>1</t>
        </is>
      </c>
      <c r="H263" t="inlineStr">
        <is>
          <t>No</t>
        </is>
      </c>
      <c r="I263" t="inlineStr">
        <is>
          <t>No</t>
        </is>
      </c>
      <c r="J263" t="inlineStr">
        <is>
          <t>0</t>
        </is>
      </c>
      <c r="L263" t="inlineStr">
        <is>
          <t>Oxford ; New York : IRL Press at Oxford University Press, c1992.</t>
        </is>
      </c>
      <c r="M263" t="inlineStr">
        <is>
          <t>1992</t>
        </is>
      </c>
      <c r="O263" t="inlineStr">
        <is>
          <t>eng</t>
        </is>
      </c>
      <c r="P263" t="inlineStr">
        <is>
          <t>enk</t>
        </is>
      </c>
      <c r="Q263" t="inlineStr">
        <is>
          <t>The Practical approach series</t>
        </is>
      </c>
      <c r="R263" t="inlineStr">
        <is>
          <t xml:space="preserve">QU </t>
        </is>
      </c>
      <c r="S263" t="n">
        <v>2</v>
      </c>
      <c r="T263" t="n">
        <v>2</v>
      </c>
      <c r="U263" t="inlineStr">
        <is>
          <t>2003-02-12</t>
        </is>
      </c>
      <c r="V263" t="inlineStr">
        <is>
          <t>2003-02-12</t>
        </is>
      </c>
      <c r="W263" t="inlineStr">
        <is>
          <t>1995-02-08</t>
        </is>
      </c>
      <c r="X263" t="inlineStr">
        <is>
          <t>1995-02-08</t>
        </is>
      </c>
      <c r="Y263" t="n">
        <v>190</v>
      </c>
      <c r="Z263" t="n">
        <v>115</v>
      </c>
      <c r="AA263" t="n">
        <v>118</v>
      </c>
      <c r="AB263" t="n">
        <v>1</v>
      </c>
      <c r="AC263" t="n">
        <v>1</v>
      </c>
      <c r="AD263" t="n">
        <v>4</v>
      </c>
      <c r="AE263" t="n">
        <v>4</v>
      </c>
      <c r="AF263" t="n">
        <v>1</v>
      </c>
      <c r="AG263" t="n">
        <v>1</v>
      </c>
      <c r="AH263" t="n">
        <v>2</v>
      </c>
      <c r="AI263" t="n">
        <v>2</v>
      </c>
      <c r="AJ263" t="n">
        <v>3</v>
      </c>
      <c r="AK263" t="n">
        <v>3</v>
      </c>
      <c r="AL263" t="n">
        <v>0</v>
      </c>
      <c r="AM263" t="n">
        <v>0</v>
      </c>
      <c r="AN263" t="n">
        <v>0</v>
      </c>
      <c r="AO263" t="n">
        <v>0</v>
      </c>
      <c r="AP263" t="inlineStr">
        <is>
          <t>No</t>
        </is>
      </c>
      <c r="AQ263" t="inlineStr">
        <is>
          <t>Yes</t>
        </is>
      </c>
      <c r="AR263">
        <f>HYPERLINK("http://catalog.hathitrust.org/Record/002585939","HathiTrust Record")</f>
        <v/>
      </c>
      <c r="AS263">
        <f>HYPERLINK("https://creighton-primo.hosted.exlibrisgroup.com/primo-explore/search?tab=default_tab&amp;search_scope=EVERYTHING&amp;vid=01CRU&amp;lang=en_US&amp;offset=0&amp;query=any,contains,991000686599702656","Catalog Record")</f>
        <v/>
      </c>
      <c r="AT263">
        <f>HYPERLINK("http://www.worldcat.org/oclc/24908044","WorldCat Record")</f>
        <v/>
      </c>
      <c r="AU263" t="inlineStr">
        <is>
          <t>803482433:eng</t>
        </is>
      </c>
      <c r="AV263" t="inlineStr">
        <is>
          <t>24908044</t>
        </is>
      </c>
      <c r="AW263" t="inlineStr">
        <is>
          <t>991000686599702656</t>
        </is>
      </c>
      <c r="AX263" t="inlineStr">
        <is>
          <t>991000686599702656</t>
        </is>
      </c>
      <c r="AY263" t="inlineStr">
        <is>
          <t>2267043030002656</t>
        </is>
      </c>
      <c r="AZ263" t="inlineStr">
        <is>
          <t>BOOK</t>
        </is>
      </c>
      <c r="BB263" t="inlineStr">
        <is>
          <t>9780199632732</t>
        </is>
      </c>
      <c r="BC263" t="inlineStr">
        <is>
          <t>30001002699199</t>
        </is>
      </c>
      <c r="BD263" t="inlineStr">
        <is>
          <t>893286852</t>
        </is>
      </c>
    </row>
    <row r="264">
      <c r="A264" t="inlineStr">
        <is>
          <t>No</t>
        </is>
      </c>
      <c r="B264" t="inlineStr">
        <is>
          <t>QU 85 L765225 1991</t>
        </is>
      </c>
      <c r="C264" t="inlineStr">
        <is>
          <t>0                      QU 0085000L  765225      1991</t>
        </is>
      </c>
      <c r="D264" t="inlineStr">
        <is>
          <t>Lipids and women's health / Geoffrey P. Redmond, editor.</t>
        </is>
      </c>
      <c r="F264" t="inlineStr">
        <is>
          <t>No</t>
        </is>
      </c>
      <c r="G264" t="inlineStr">
        <is>
          <t>1</t>
        </is>
      </c>
      <c r="H264" t="inlineStr">
        <is>
          <t>No</t>
        </is>
      </c>
      <c r="I264" t="inlineStr">
        <is>
          <t>No</t>
        </is>
      </c>
      <c r="J264" t="inlineStr">
        <is>
          <t>0</t>
        </is>
      </c>
      <c r="L264" t="inlineStr">
        <is>
          <t>New York : Springer-Verlag, c1991.</t>
        </is>
      </c>
      <c r="M264" t="inlineStr">
        <is>
          <t>1991</t>
        </is>
      </c>
      <c r="O264" t="inlineStr">
        <is>
          <t>eng</t>
        </is>
      </c>
      <c r="P264" t="inlineStr">
        <is>
          <t>nyu</t>
        </is>
      </c>
      <c r="R264" t="inlineStr">
        <is>
          <t xml:space="preserve">QU </t>
        </is>
      </c>
      <c r="S264" t="n">
        <v>4</v>
      </c>
      <c r="T264" t="n">
        <v>4</v>
      </c>
      <c r="U264" t="inlineStr">
        <is>
          <t>1991-07-18</t>
        </is>
      </c>
      <c r="V264" t="inlineStr">
        <is>
          <t>1991-07-18</t>
        </is>
      </c>
      <c r="W264" t="inlineStr">
        <is>
          <t>1991-04-25</t>
        </is>
      </c>
      <c r="X264" t="inlineStr">
        <is>
          <t>1991-04-25</t>
        </is>
      </c>
      <c r="Y264" t="n">
        <v>116</v>
      </c>
      <c r="Z264" t="n">
        <v>84</v>
      </c>
      <c r="AA264" t="n">
        <v>108</v>
      </c>
      <c r="AB264" t="n">
        <v>1</v>
      </c>
      <c r="AC264" t="n">
        <v>1</v>
      </c>
      <c r="AD264" t="n">
        <v>2</v>
      </c>
      <c r="AE264" t="n">
        <v>2</v>
      </c>
      <c r="AF264" t="n">
        <v>0</v>
      </c>
      <c r="AG264" t="n">
        <v>0</v>
      </c>
      <c r="AH264" t="n">
        <v>1</v>
      </c>
      <c r="AI264" t="n">
        <v>1</v>
      </c>
      <c r="AJ264" t="n">
        <v>1</v>
      </c>
      <c r="AK264" t="n">
        <v>1</v>
      </c>
      <c r="AL264" t="n">
        <v>0</v>
      </c>
      <c r="AM264" t="n">
        <v>0</v>
      </c>
      <c r="AN264" t="n">
        <v>0</v>
      </c>
      <c r="AO264" t="n">
        <v>0</v>
      </c>
      <c r="AP264" t="inlineStr">
        <is>
          <t>No</t>
        </is>
      </c>
      <c r="AQ264" t="inlineStr">
        <is>
          <t>Yes</t>
        </is>
      </c>
      <c r="AR264">
        <f>HYPERLINK("http://catalog.hathitrust.org/Record/002456621","HathiTrust Record")</f>
        <v/>
      </c>
      <c r="AS264">
        <f>HYPERLINK("https://creighton-primo.hosted.exlibrisgroup.com/primo-explore/search?tab=default_tab&amp;search_scope=EVERYTHING&amp;vid=01CRU&amp;lang=en_US&amp;offset=0&amp;query=any,contains,991000933979702656","Catalog Record")</f>
        <v/>
      </c>
      <c r="AT264">
        <f>HYPERLINK("http://www.worldcat.org/oclc/21517666","WorldCat Record")</f>
        <v/>
      </c>
      <c r="AU264" t="inlineStr">
        <is>
          <t>23093899:eng</t>
        </is>
      </c>
      <c r="AV264" t="inlineStr">
        <is>
          <t>21517666</t>
        </is>
      </c>
      <c r="AW264" t="inlineStr">
        <is>
          <t>991000933979702656</t>
        </is>
      </c>
      <c r="AX264" t="inlineStr">
        <is>
          <t>991000933979702656</t>
        </is>
      </c>
      <c r="AY264" t="inlineStr">
        <is>
          <t>2268046440002656</t>
        </is>
      </c>
      <c r="AZ264" t="inlineStr">
        <is>
          <t>BOOK</t>
        </is>
      </c>
      <c r="BB264" t="inlineStr">
        <is>
          <t>9780387973180</t>
        </is>
      </c>
      <c r="BC264" t="inlineStr">
        <is>
          <t>30001002190348</t>
        </is>
      </c>
      <c r="BD264" t="inlineStr">
        <is>
          <t>893731541</t>
        </is>
      </c>
    </row>
    <row r="265">
      <c r="A265" t="inlineStr">
        <is>
          <t>No</t>
        </is>
      </c>
      <c r="B265" t="inlineStr">
        <is>
          <t>QU 85 L76523 1986</t>
        </is>
      </c>
      <c r="C265" t="inlineStr">
        <is>
          <t>0                      QU 0085000L  76523       1986</t>
        </is>
      </c>
      <c r="D265" t="inlineStr">
        <is>
          <t>Lipids : chemistry, biochemistry, and nutrition / James F. Mead ... [et al.].</t>
        </is>
      </c>
      <c r="F265" t="inlineStr">
        <is>
          <t>No</t>
        </is>
      </c>
      <c r="G265" t="inlineStr">
        <is>
          <t>1</t>
        </is>
      </c>
      <c r="H265" t="inlineStr">
        <is>
          <t>No</t>
        </is>
      </c>
      <c r="I265" t="inlineStr">
        <is>
          <t>No</t>
        </is>
      </c>
      <c r="J265" t="inlineStr">
        <is>
          <t>0</t>
        </is>
      </c>
      <c r="L265" t="inlineStr">
        <is>
          <t>New York : Plenum Press, c1986.</t>
        </is>
      </c>
      <c r="M265" t="inlineStr">
        <is>
          <t>1986</t>
        </is>
      </c>
      <c r="O265" t="inlineStr">
        <is>
          <t>eng</t>
        </is>
      </c>
      <c r="P265" t="inlineStr">
        <is>
          <t>xxu</t>
        </is>
      </c>
      <c r="R265" t="inlineStr">
        <is>
          <t xml:space="preserve">QU </t>
        </is>
      </c>
      <c r="S265" t="n">
        <v>14</v>
      </c>
      <c r="T265" t="n">
        <v>14</v>
      </c>
      <c r="U265" t="inlineStr">
        <is>
          <t>1998-11-20</t>
        </is>
      </c>
      <c r="V265" t="inlineStr">
        <is>
          <t>1998-11-20</t>
        </is>
      </c>
      <c r="W265" t="inlineStr">
        <is>
          <t>1990-05-21</t>
        </is>
      </c>
      <c r="X265" t="inlineStr">
        <is>
          <t>1990-05-21</t>
        </is>
      </c>
      <c r="Y265" t="n">
        <v>395</v>
      </c>
      <c r="Z265" t="n">
        <v>293</v>
      </c>
      <c r="AA265" t="n">
        <v>296</v>
      </c>
      <c r="AB265" t="n">
        <v>3</v>
      </c>
      <c r="AC265" t="n">
        <v>3</v>
      </c>
      <c r="AD265" t="n">
        <v>17</v>
      </c>
      <c r="AE265" t="n">
        <v>17</v>
      </c>
      <c r="AF265" t="n">
        <v>3</v>
      </c>
      <c r="AG265" t="n">
        <v>3</v>
      </c>
      <c r="AH265" t="n">
        <v>6</v>
      </c>
      <c r="AI265" t="n">
        <v>6</v>
      </c>
      <c r="AJ265" t="n">
        <v>10</v>
      </c>
      <c r="AK265" t="n">
        <v>10</v>
      </c>
      <c r="AL265" t="n">
        <v>2</v>
      </c>
      <c r="AM265" t="n">
        <v>2</v>
      </c>
      <c r="AN265" t="n">
        <v>0</v>
      </c>
      <c r="AO265" t="n">
        <v>0</v>
      </c>
      <c r="AP265" t="inlineStr">
        <is>
          <t>No</t>
        </is>
      </c>
      <c r="AQ265" t="inlineStr">
        <is>
          <t>Yes</t>
        </is>
      </c>
      <c r="AR265">
        <f>HYPERLINK("http://catalog.hathitrust.org/Record/000472014","HathiTrust Record")</f>
        <v/>
      </c>
      <c r="AS265">
        <f>HYPERLINK("https://creighton-primo.hosted.exlibrisgroup.com/primo-explore/search?tab=default_tab&amp;search_scope=EVERYTHING&amp;vid=01CRU&amp;lang=en_US&amp;offset=0&amp;query=any,contains,991001373229702656","Catalog Record")</f>
        <v/>
      </c>
      <c r="AT265">
        <f>HYPERLINK("http://www.worldcat.org/oclc/12555155","WorldCat Record")</f>
        <v/>
      </c>
      <c r="AU265" t="inlineStr">
        <is>
          <t>836667884:eng</t>
        </is>
      </c>
      <c r="AV265" t="inlineStr">
        <is>
          <t>12555155</t>
        </is>
      </c>
      <c r="AW265" t="inlineStr">
        <is>
          <t>991001373229702656</t>
        </is>
      </c>
      <c r="AX265" t="inlineStr">
        <is>
          <t>991001373229702656</t>
        </is>
      </c>
      <c r="AY265" t="inlineStr">
        <is>
          <t>2260681000002656</t>
        </is>
      </c>
      <c r="AZ265" t="inlineStr">
        <is>
          <t>BOOK</t>
        </is>
      </c>
      <c r="BB265" t="inlineStr">
        <is>
          <t>9780306419904</t>
        </is>
      </c>
      <c r="BC265" t="inlineStr">
        <is>
          <t>30001001797994</t>
        </is>
      </c>
      <c r="BD265" t="inlineStr">
        <is>
          <t>893284736</t>
        </is>
      </c>
    </row>
    <row r="266">
      <c r="A266" t="inlineStr">
        <is>
          <t>No</t>
        </is>
      </c>
      <c r="B266" t="inlineStr">
        <is>
          <t>QU 85 L766 1999</t>
        </is>
      </c>
      <c r="C266" t="inlineStr">
        <is>
          <t>0                      QU 0085000L  766         1999</t>
        </is>
      </c>
      <c r="D266" t="inlineStr">
        <is>
          <t>Lipoproteins in health and disease / edited by D.J. Betteridge, D. Roger Illingworth, J. Shepherd.</t>
        </is>
      </c>
      <c r="F266" t="inlineStr">
        <is>
          <t>No</t>
        </is>
      </c>
      <c r="G266" t="inlineStr">
        <is>
          <t>1</t>
        </is>
      </c>
      <c r="H266" t="inlineStr">
        <is>
          <t>No</t>
        </is>
      </c>
      <c r="I266" t="inlineStr">
        <is>
          <t>No</t>
        </is>
      </c>
      <c r="J266" t="inlineStr">
        <is>
          <t>0</t>
        </is>
      </c>
      <c r="L266" t="inlineStr">
        <is>
          <t>London : Arnold ; New York : Oxford University Press, c1999.</t>
        </is>
      </c>
      <c r="M266" t="inlineStr">
        <is>
          <t>1999</t>
        </is>
      </c>
      <c r="O266" t="inlineStr">
        <is>
          <t>eng</t>
        </is>
      </c>
      <c r="P266" t="inlineStr">
        <is>
          <t>enk</t>
        </is>
      </c>
      <c r="R266" t="inlineStr">
        <is>
          <t xml:space="preserve">QU </t>
        </is>
      </c>
      <c r="S266" t="n">
        <v>4</v>
      </c>
      <c r="T266" t="n">
        <v>4</v>
      </c>
      <c r="U266" t="inlineStr">
        <is>
          <t>2000-11-07</t>
        </is>
      </c>
      <c r="V266" t="inlineStr">
        <is>
          <t>2000-11-07</t>
        </is>
      </c>
      <c r="W266" t="inlineStr">
        <is>
          <t>2000-04-18</t>
        </is>
      </c>
      <c r="X266" t="inlineStr">
        <is>
          <t>2000-04-18</t>
        </is>
      </c>
      <c r="Y266" t="n">
        <v>125</v>
      </c>
      <c r="Z266" t="n">
        <v>83</v>
      </c>
      <c r="AA266" t="n">
        <v>88</v>
      </c>
      <c r="AB266" t="n">
        <v>1</v>
      </c>
      <c r="AC266" t="n">
        <v>1</v>
      </c>
      <c r="AD266" t="n">
        <v>0</v>
      </c>
      <c r="AE266" t="n">
        <v>0</v>
      </c>
      <c r="AF266" t="n">
        <v>0</v>
      </c>
      <c r="AG266" t="n">
        <v>0</v>
      </c>
      <c r="AH266" t="n">
        <v>0</v>
      </c>
      <c r="AI266" t="n">
        <v>0</v>
      </c>
      <c r="AJ266" t="n">
        <v>0</v>
      </c>
      <c r="AK266" t="n">
        <v>0</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HYPERLINK("https://creighton-primo.hosted.exlibrisgroup.com/primo-explore/search?tab=default_tab&amp;search_scope=EVERYTHING&amp;vid=01CRU&amp;lang=en_US&amp;offset=0&amp;query=any,contains,991001446049702656","Catalog Record")</f>
        <v/>
      </c>
      <c r="AT266">
        <f>HYPERLINK("http://www.worldcat.org/oclc/38758002","WorldCat Record")</f>
        <v/>
      </c>
      <c r="AU266" t="inlineStr">
        <is>
          <t>350332009:eng</t>
        </is>
      </c>
      <c r="AV266" t="inlineStr">
        <is>
          <t>38758002</t>
        </is>
      </c>
      <c r="AW266" t="inlineStr">
        <is>
          <t>991001446049702656</t>
        </is>
      </c>
      <c r="AX266" t="inlineStr">
        <is>
          <t>991001446049702656</t>
        </is>
      </c>
      <c r="AY266" t="inlineStr">
        <is>
          <t>2268694750002656</t>
        </is>
      </c>
      <c r="AZ266" t="inlineStr">
        <is>
          <t>BOOK</t>
        </is>
      </c>
      <c r="BB266" t="inlineStr">
        <is>
          <t>9780340552698</t>
        </is>
      </c>
      <c r="BC266" t="inlineStr">
        <is>
          <t>30001003884485</t>
        </is>
      </c>
      <c r="BD266" t="inlineStr">
        <is>
          <t>893369406</t>
        </is>
      </c>
    </row>
    <row r="267">
      <c r="A267" t="inlineStr">
        <is>
          <t>No</t>
        </is>
      </c>
      <c r="B267" t="inlineStr">
        <is>
          <t>QU 85 M718 1992</t>
        </is>
      </c>
      <c r="C267" t="inlineStr">
        <is>
          <t>0                      QU 0085000M  718         1992</t>
        </is>
      </c>
      <c r="D267" t="inlineStr">
        <is>
          <t>Molecular structure and biological activity of steroids / edited by Martin Bohl, William L. Duax.</t>
        </is>
      </c>
      <c r="F267" t="inlineStr">
        <is>
          <t>No</t>
        </is>
      </c>
      <c r="G267" t="inlineStr">
        <is>
          <t>1</t>
        </is>
      </c>
      <c r="H267" t="inlineStr">
        <is>
          <t>No</t>
        </is>
      </c>
      <c r="I267" t="inlineStr">
        <is>
          <t>No</t>
        </is>
      </c>
      <c r="J267" t="inlineStr">
        <is>
          <t>0</t>
        </is>
      </c>
      <c r="L267" t="inlineStr">
        <is>
          <t>Boca Raton : CRC Press, c1992.</t>
        </is>
      </c>
      <c r="M267" t="inlineStr">
        <is>
          <t>1992</t>
        </is>
      </c>
      <c r="O267" t="inlineStr">
        <is>
          <t>eng</t>
        </is>
      </c>
      <c r="P267" t="inlineStr">
        <is>
          <t>xxu</t>
        </is>
      </c>
      <c r="R267" t="inlineStr">
        <is>
          <t xml:space="preserve">QU </t>
        </is>
      </c>
      <c r="S267" t="n">
        <v>7</v>
      </c>
      <c r="T267" t="n">
        <v>7</v>
      </c>
      <c r="U267" t="inlineStr">
        <is>
          <t>1997-10-05</t>
        </is>
      </c>
      <c r="V267" t="inlineStr">
        <is>
          <t>1997-10-05</t>
        </is>
      </c>
      <c r="W267" t="inlineStr">
        <is>
          <t>1993-02-18</t>
        </is>
      </c>
      <c r="X267" t="inlineStr">
        <is>
          <t>1993-02-18</t>
        </is>
      </c>
      <c r="Y267" t="n">
        <v>95</v>
      </c>
      <c r="Z267" t="n">
        <v>70</v>
      </c>
      <c r="AA267" t="n">
        <v>104</v>
      </c>
      <c r="AB267" t="n">
        <v>1</v>
      </c>
      <c r="AC267" t="n">
        <v>1</v>
      </c>
      <c r="AD267" t="n">
        <v>1</v>
      </c>
      <c r="AE267" t="n">
        <v>1</v>
      </c>
      <c r="AF267" t="n">
        <v>1</v>
      </c>
      <c r="AG267" t="n">
        <v>1</v>
      </c>
      <c r="AH267" t="n">
        <v>0</v>
      </c>
      <c r="AI267" t="n">
        <v>0</v>
      </c>
      <c r="AJ267" t="n">
        <v>1</v>
      </c>
      <c r="AK267" t="n">
        <v>1</v>
      </c>
      <c r="AL267" t="n">
        <v>0</v>
      </c>
      <c r="AM267" t="n">
        <v>0</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HYPERLINK("https://creighton-primo.hosted.exlibrisgroup.com/primo-explore/search?tab=default_tab&amp;search_scope=EVERYTHING&amp;vid=01CRU&amp;lang=en_US&amp;offset=0&amp;query=any,contains,991001428969702656","Catalog Record")</f>
        <v/>
      </c>
      <c r="AT267">
        <f>HYPERLINK("http://www.worldcat.org/oclc/25096795","WorldCat Record")</f>
        <v/>
      </c>
      <c r="AU267" t="inlineStr">
        <is>
          <t>365859673:eng</t>
        </is>
      </c>
      <c r="AV267" t="inlineStr">
        <is>
          <t>25096795</t>
        </is>
      </c>
      <c r="AW267" t="inlineStr">
        <is>
          <t>991001428969702656</t>
        </is>
      </c>
      <c r="AX267" t="inlineStr">
        <is>
          <t>991001428969702656</t>
        </is>
      </c>
      <c r="AY267" t="inlineStr">
        <is>
          <t>2256053690002656</t>
        </is>
      </c>
      <c r="AZ267" t="inlineStr">
        <is>
          <t>BOOK</t>
        </is>
      </c>
      <c r="BB267" t="inlineStr">
        <is>
          <t>9780849369551</t>
        </is>
      </c>
      <c r="BC267" t="inlineStr">
        <is>
          <t>30001002528240</t>
        </is>
      </c>
      <c r="BD267" t="inlineStr">
        <is>
          <t>893377241</t>
        </is>
      </c>
    </row>
    <row r="268">
      <c r="A268" t="inlineStr">
        <is>
          <t>No</t>
        </is>
      </c>
      <c r="B268" t="inlineStr">
        <is>
          <t>QU 85 N4943 1999</t>
        </is>
      </c>
      <c r="C268" t="inlineStr">
        <is>
          <t>0                      QU 0085000N  4943        1999</t>
        </is>
      </c>
      <c r="D268" t="inlineStr">
        <is>
          <t>Neurosteroids : a new regulatory function in the nervous system / edited by Etienne-Emile Baulieu, Paul Robel, Michael Schumacher.</t>
        </is>
      </c>
      <c r="F268" t="inlineStr">
        <is>
          <t>No</t>
        </is>
      </c>
      <c r="G268" t="inlineStr">
        <is>
          <t>1</t>
        </is>
      </c>
      <c r="H268" t="inlineStr">
        <is>
          <t>No</t>
        </is>
      </c>
      <c r="I268" t="inlineStr">
        <is>
          <t>No</t>
        </is>
      </c>
      <c r="J268" t="inlineStr">
        <is>
          <t>0</t>
        </is>
      </c>
      <c r="L268" t="inlineStr">
        <is>
          <t>Totowa, N.J. : Humana Press, c1999.</t>
        </is>
      </c>
      <c r="M268" t="inlineStr">
        <is>
          <t>1999</t>
        </is>
      </c>
      <c r="O268" t="inlineStr">
        <is>
          <t>eng</t>
        </is>
      </c>
      <c r="P268" t="inlineStr">
        <is>
          <t>nju</t>
        </is>
      </c>
      <c r="Q268" t="inlineStr">
        <is>
          <t>Contemporary endocrinology ; 21</t>
        </is>
      </c>
      <c r="R268" t="inlineStr">
        <is>
          <t xml:space="preserve">QU </t>
        </is>
      </c>
      <c r="S268" t="n">
        <v>1</v>
      </c>
      <c r="T268" t="n">
        <v>1</v>
      </c>
      <c r="U268" t="inlineStr">
        <is>
          <t>2000-09-07</t>
        </is>
      </c>
      <c r="V268" t="inlineStr">
        <is>
          <t>2000-09-07</t>
        </is>
      </c>
      <c r="W268" t="inlineStr">
        <is>
          <t>2000-07-20</t>
        </is>
      </c>
      <c r="X268" t="inlineStr">
        <is>
          <t>2000-07-20</t>
        </is>
      </c>
      <c r="Y268" t="n">
        <v>154</v>
      </c>
      <c r="Z268" t="n">
        <v>112</v>
      </c>
      <c r="AA268" t="n">
        <v>148</v>
      </c>
      <c r="AB268" t="n">
        <v>1</v>
      </c>
      <c r="AC268" t="n">
        <v>1</v>
      </c>
      <c r="AD268" t="n">
        <v>4</v>
      </c>
      <c r="AE268" t="n">
        <v>5</v>
      </c>
      <c r="AF268" t="n">
        <v>0</v>
      </c>
      <c r="AG268" t="n">
        <v>0</v>
      </c>
      <c r="AH268" t="n">
        <v>3</v>
      </c>
      <c r="AI268" t="n">
        <v>3</v>
      </c>
      <c r="AJ268" t="n">
        <v>2</v>
      </c>
      <c r="AK268" t="n">
        <v>3</v>
      </c>
      <c r="AL268" t="n">
        <v>0</v>
      </c>
      <c r="AM268" t="n">
        <v>0</v>
      </c>
      <c r="AN268" t="n">
        <v>0</v>
      </c>
      <c r="AO268" t="n">
        <v>0</v>
      </c>
      <c r="AP268" t="inlineStr">
        <is>
          <t>No</t>
        </is>
      </c>
      <c r="AQ268" t="inlineStr">
        <is>
          <t>Yes</t>
        </is>
      </c>
      <c r="AR268">
        <f>HYPERLINK("http://catalog.hathitrust.org/Record/004096554","HathiTrust Record")</f>
        <v/>
      </c>
      <c r="AS268">
        <f>HYPERLINK("https://creighton-primo.hosted.exlibrisgroup.com/primo-explore/search?tab=default_tab&amp;search_scope=EVERYTHING&amp;vid=01CRU&amp;lang=en_US&amp;offset=0&amp;query=any,contains,991000277209702656","Catalog Record")</f>
        <v/>
      </c>
      <c r="AT268">
        <f>HYPERLINK("http://www.worldcat.org/oclc/40674944","WorldCat Record")</f>
        <v/>
      </c>
      <c r="AU268" t="inlineStr">
        <is>
          <t>801197311:eng</t>
        </is>
      </c>
      <c r="AV268" t="inlineStr">
        <is>
          <t>40674944</t>
        </is>
      </c>
      <c r="AW268" t="inlineStr">
        <is>
          <t>991000277209702656</t>
        </is>
      </c>
      <c r="AX268" t="inlineStr">
        <is>
          <t>991000277209702656</t>
        </is>
      </c>
      <c r="AY268" t="inlineStr">
        <is>
          <t>2260578710002656</t>
        </is>
      </c>
      <c r="AZ268" t="inlineStr">
        <is>
          <t>BOOK</t>
        </is>
      </c>
      <c r="BB268" t="inlineStr">
        <is>
          <t>9780896035454</t>
        </is>
      </c>
      <c r="BC268" t="inlineStr">
        <is>
          <t>30001003941897</t>
        </is>
      </c>
      <c r="BD268" t="inlineStr">
        <is>
          <t>893811291</t>
        </is>
      </c>
    </row>
    <row r="269">
      <c r="A269" t="inlineStr">
        <is>
          <t>No</t>
        </is>
      </c>
      <c r="B269" t="inlineStr">
        <is>
          <t>QU 85 N532 1993</t>
        </is>
      </c>
      <c r="C269" t="inlineStr">
        <is>
          <t>0                      QU 0085000N  532         1993</t>
        </is>
      </c>
      <c r="D269" t="inlineStr">
        <is>
          <t>New developments in lipid-protein interactions and receptor function / edited by K.W.A. Wirtz ... [et al.].</t>
        </is>
      </c>
      <c r="F269" t="inlineStr">
        <is>
          <t>No</t>
        </is>
      </c>
      <c r="G269" t="inlineStr">
        <is>
          <t>1</t>
        </is>
      </c>
      <c r="H269" t="inlineStr">
        <is>
          <t>No</t>
        </is>
      </c>
      <c r="I269" t="inlineStr">
        <is>
          <t>No</t>
        </is>
      </c>
      <c r="J269" t="inlineStr">
        <is>
          <t>0</t>
        </is>
      </c>
      <c r="L269" t="inlineStr">
        <is>
          <t>New York : Plenum Press, c1993.</t>
        </is>
      </c>
      <c r="M269" t="inlineStr">
        <is>
          <t>1993</t>
        </is>
      </c>
      <c r="O269" t="inlineStr">
        <is>
          <t>eng</t>
        </is>
      </c>
      <c r="P269" t="inlineStr">
        <is>
          <t>nyu</t>
        </is>
      </c>
      <c r="Q269" t="inlineStr">
        <is>
          <t>NATO ASI series. Series A, Life sciences ; v. 246</t>
        </is>
      </c>
      <c r="R269" t="inlineStr">
        <is>
          <t xml:space="preserve">QU </t>
        </is>
      </c>
      <c r="S269" t="n">
        <v>12</v>
      </c>
      <c r="T269" t="n">
        <v>12</v>
      </c>
      <c r="U269" t="inlineStr">
        <is>
          <t>1999-05-10</t>
        </is>
      </c>
      <c r="V269" t="inlineStr">
        <is>
          <t>1999-05-10</t>
        </is>
      </c>
      <c r="W269" t="inlineStr">
        <is>
          <t>1994-05-31</t>
        </is>
      </c>
      <c r="X269" t="inlineStr">
        <is>
          <t>1994-05-31</t>
        </is>
      </c>
      <c r="Y269" t="n">
        <v>118</v>
      </c>
      <c r="Z269" t="n">
        <v>96</v>
      </c>
      <c r="AA269" t="n">
        <v>120</v>
      </c>
      <c r="AB269" t="n">
        <v>1</v>
      </c>
      <c r="AC269" t="n">
        <v>1</v>
      </c>
      <c r="AD269" t="n">
        <v>1</v>
      </c>
      <c r="AE269" t="n">
        <v>2</v>
      </c>
      <c r="AF269" t="n">
        <v>0</v>
      </c>
      <c r="AG269" t="n">
        <v>1</v>
      </c>
      <c r="AH269" t="n">
        <v>0</v>
      </c>
      <c r="AI269" t="n">
        <v>0</v>
      </c>
      <c r="AJ269" t="n">
        <v>1</v>
      </c>
      <c r="AK269" t="n">
        <v>2</v>
      </c>
      <c r="AL269" t="n">
        <v>0</v>
      </c>
      <c r="AM269" t="n">
        <v>0</v>
      </c>
      <c r="AN269" t="n">
        <v>0</v>
      </c>
      <c r="AO269" t="n">
        <v>0</v>
      </c>
      <c r="AP269" t="inlineStr">
        <is>
          <t>No</t>
        </is>
      </c>
      <c r="AQ269" t="inlineStr">
        <is>
          <t>Yes</t>
        </is>
      </c>
      <c r="AR269">
        <f>HYPERLINK("http://catalog.hathitrust.org/Record/002799848","HathiTrust Record")</f>
        <v/>
      </c>
      <c r="AS269">
        <f>HYPERLINK("https://creighton-primo.hosted.exlibrisgroup.com/primo-explore/search?tab=default_tab&amp;search_scope=EVERYTHING&amp;vid=01CRU&amp;lang=en_US&amp;offset=0&amp;query=any,contains,991001194579702656","Catalog Record")</f>
        <v/>
      </c>
      <c r="AT269">
        <f>HYPERLINK("http://www.worldcat.org/oclc/28291779","WorldCat Record")</f>
        <v/>
      </c>
      <c r="AU269" t="inlineStr">
        <is>
          <t>583803717:eng</t>
        </is>
      </c>
      <c r="AV269" t="inlineStr">
        <is>
          <t>28291779</t>
        </is>
      </c>
      <c r="AW269" t="inlineStr">
        <is>
          <t>991001194579702656</t>
        </is>
      </c>
      <c r="AX269" t="inlineStr">
        <is>
          <t>991001194579702656</t>
        </is>
      </c>
      <c r="AY269" t="inlineStr">
        <is>
          <t>2259794790002656</t>
        </is>
      </c>
      <c r="AZ269" t="inlineStr">
        <is>
          <t>BOOK</t>
        </is>
      </c>
      <c r="BB269" t="inlineStr">
        <is>
          <t>9780306445217</t>
        </is>
      </c>
      <c r="BC269" t="inlineStr">
        <is>
          <t>30001002984112</t>
        </is>
      </c>
      <c r="BD269" t="inlineStr">
        <is>
          <t>893546441</t>
        </is>
      </c>
    </row>
    <row r="270">
      <c r="A270" t="inlineStr">
        <is>
          <t>No</t>
        </is>
      </c>
      <c r="B270" t="inlineStr">
        <is>
          <t>QU 85 R344 1982</t>
        </is>
      </c>
      <c r="C270" t="inlineStr">
        <is>
          <t>0                      QU 0085000R  344         1982</t>
        </is>
      </c>
      <c r="D270" t="inlineStr">
        <is>
          <t>Regulation of serum lipids by physical exercise / editor, Eino Hietanen.</t>
        </is>
      </c>
      <c r="F270" t="inlineStr">
        <is>
          <t>No</t>
        </is>
      </c>
      <c r="G270" t="inlineStr">
        <is>
          <t>1</t>
        </is>
      </c>
      <c r="H270" t="inlineStr">
        <is>
          <t>No</t>
        </is>
      </c>
      <c r="I270" t="inlineStr">
        <is>
          <t>No</t>
        </is>
      </c>
      <c r="J270" t="inlineStr">
        <is>
          <t>0</t>
        </is>
      </c>
      <c r="L270" t="inlineStr">
        <is>
          <t>Boca Raton, Fla. : CRC Press, c1982.</t>
        </is>
      </c>
      <c r="M270" t="inlineStr">
        <is>
          <t>1982</t>
        </is>
      </c>
      <c r="O270" t="inlineStr">
        <is>
          <t>eng</t>
        </is>
      </c>
      <c r="P270" t="inlineStr">
        <is>
          <t>xxu</t>
        </is>
      </c>
      <c r="R270" t="inlineStr">
        <is>
          <t xml:space="preserve">QU </t>
        </is>
      </c>
      <c r="S270" t="n">
        <v>1</v>
      </c>
      <c r="T270" t="n">
        <v>1</v>
      </c>
      <c r="U270" t="inlineStr">
        <is>
          <t>1996-02-13</t>
        </is>
      </c>
      <c r="V270" t="inlineStr">
        <is>
          <t>1996-02-13</t>
        </is>
      </c>
      <c r="W270" t="inlineStr">
        <is>
          <t>1988-01-28</t>
        </is>
      </c>
      <c r="X270" t="inlineStr">
        <is>
          <t>1988-01-28</t>
        </is>
      </c>
      <c r="Y270" t="n">
        <v>170</v>
      </c>
      <c r="Z270" t="n">
        <v>132</v>
      </c>
      <c r="AA270" t="n">
        <v>135</v>
      </c>
      <c r="AB270" t="n">
        <v>3</v>
      </c>
      <c r="AC270" t="n">
        <v>3</v>
      </c>
      <c r="AD270" t="n">
        <v>4</v>
      </c>
      <c r="AE270" t="n">
        <v>4</v>
      </c>
      <c r="AF270" t="n">
        <v>1</v>
      </c>
      <c r="AG270" t="n">
        <v>1</v>
      </c>
      <c r="AH270" t="n">
        <v>1</v>
      </c>
      <c r="AI270" t="n">
        <v>1</v>
      </c>
      <c r="AJ270" t="n">
        <v>1</v>
      </c>
      <c r="AK270" t="n">
        <v>1</v>
      </c>
      <c r="AL270" t="n">
        <v>2</v>
      </c>
      <c r="AM270" t="n">
        <v>2</v>
      </c>
      <c r="AN270" t="n">
        <v>0</v>
      </c>
      <c r="AO270" t="n">
        <v>0</v>
      </c>
      <c r="AP270" t="inlineStr">
        <is>
          <t>No</t>
        </is>
      </c>
      <c r="AQ270" t="inlineStr">
        <is>
          <t>Yes</t>
        </is>
      </c>
      <c r="AR270">
        <f>HYPERLINK("http://catalog.hathitrust.org/Record/000111092","HathiTrust Record")</f>
        <v/>
      </c>
      <c r="AS270">
        <f>HYPERLINK("https://creighton-primo.hosted.exlibrisgroup.com/primo-explore/search?tab=default_tab&amp;search_scope=EVERYTHING&amp;vid=01CRU&amp;lang=en_US&amp;offset=0&amp;query=any,contains,991000899139702656","Catalog Record")</f>
        <v/>
      </c>
      <c r="AT270">
        <f>HYPERLINK("http://www.worldcat.org/oclc/7775566","WorldCat Record")</f>
        <v/>
      </c>
      <c r="AU270" t="inlineStr">
        <is>
          <t>29585931:eng</t>
        </is>
      </c>
      <c r="AV270" t="inlineStr">
        <is>
          <t>7775566</t>
        </is>
      </c>
      <c r="AW270" t="inlineStr">
        <is>
          <t>991000899139702656</t>
        </is>
      </c>
      <c r="AX270" t="inlineStr">
        <is>
          <t>991000899139702656</t>
        </is>
      </c>
      <c r="AY270" t="inlineStr">
        <is>
          <t>2272641700002656</t>
        </is>
      </c>
      <c r="AZ270" t="inlineStr">
        <is>
          <t>BOOK</t>
        </is>
      </c>
      <c r="BB270" t="inlineStr">
        <is>
          <t>9780849363306</t>
        </is>
      </c>
      <c r="BC270" t="inlineStr">
        <is>
          <t>30001000159519</t>
        </is>
      </c>
      <c r="BD270" t="inlineStr">
        <is>
          <t>893374072</t>
        </is>
      </c>
    </row>
    <row r="271">
      <c r="A271" t="inlineStr">
        <is>
          <t>No</t>
        </is>
      </c>
      <c r="B271" t="inlineStr">
        <is>
          <t>QU 85 R745 1990</t>
        </is>
      </c>
      <c r="C271" t="inlineStr">
        <is>
          <t>0                      QU 0085000R  745         1990</t>
        </is>
      </c>
      <c r="D271" t="inlineStr">
        <is>
          <t>Role of copper in lipid metabolism / editor, K.Y. Lei, associate editor, Timothy P. Carr.</t>
        </is>
      </c>
      <c r="F271" t="inlineStr">
        <is>
          <t>No</t>
        </is>
      </c>
      <c r="G271" t="inlineStr">
        <is>
          <t>1</t>
        </is>
      </c>
      <c r="H271" t="inlineStr">
        <is>
          <t>No</t>
        </is>
      </c>
      <c r="I271" t="inlineStr">
        <is>
          <t>No</t>
        </is>
      </c>
      <c r="J271" t="inlineStr">
        <is>
          <t>0</t>
        </is>
      </c>
      <c r="L271" t="inlineStr">
        <is>
          <t>Boca Raton, Fla. : CRC Press, c1990.</t>
        </is>
      </c>
      <c r="M271" t="inlineStr">
        <is>
          <t>1990</t>
        </is>
      </c>
      <c r="O271" t="inlineStr">
        <is>
          <t>eng</t>
        </is>
      </c>
      <c r="P271" t="inlineStr">
        <is>
          <t>flu</t>
        </is>
      </c>
      <c r="R271" t="inlineStr">
        <is>
          <t xml:space="preserve">QU </t>
        </is>
      </c>
      <c r="S271" t="n">
        <v>3</v>
      </c>
      <c r="T271" t="n">
        <v>3</v>
      </c>
      <c r="U271" t="inlineStr">
        <is>
          <t>1990-08-28</t>
        </is>
      </c>
      <c r="V271" t="inlineStr">
        <is>
          <t>1990-08-28</t>
        </is>
      </c>
      <c r="W271" t="inlineStr">
        <is>
          <t>1990-07-11</t>
        </is>
      </c>
      <c r="X271" t="inlineStr">
        <is>
          <t>1990-07-11</t>
        </is>
      </c>
      <c r="Y271" t="n">
        <v>69</v>
      </c>
      <c r="Z271" t="n">
        <v>50</v>
      </c>
      <c r="AA271" t="n">
        <v>50</v>
      </c>
      <c r="AB271" t="n">
        <v>2</v>
      </c>
      <c r="AC271" t="n">
        <v>2</v>
      </c>
      <c r="AD271" t="n">
        <v>4</v>
      </c>
      <c r="AE271" t="n">
        <v>4</v>
      </c>
      <c r="AF271" t="n">
        <v>0</v>
      </c>
      <c r="AG271" t="n">
        <v>0</v>
      </c>
      <c r="AH271" t="n">
        <v>2</v>
      </c>
      <c r="AI271" t="n">
        <v>2</v>
      </c>
      <c r="AJ271" t="n">
        <v>2</v>
      </c>
      <c r="AK271" t="n">
        <v>2</v>
      </c>
      <c r="AL271" t="n">
        <v>1</v>
      </c>
      <c r="AM271" t="n">
        <v>1</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HYPERLINK("https://creighton-primo.hosted.exlibrisgroup.com/primo-explore/search?tab=default_tab&amp;search_scope=EVERYTHING&amp;vid=01CRU&amp;lang=en_US&amp;offset=0&amp;query=any,contains,991001450659702656","Catalog Record")</f>
        <v/>
      </c>
      <c r="AT271">
        <f>HYPERLINK("http://www.worldcat.org/oclc/20220845","WorldCat Record")</f>
        <v/>
      </c>
      <c r="AU271" t="inlineStr">
        <is>
          <t>365198340:eng</t>
        </is>
      </c>
      <c r="AV271" t="inlineStr">
        <is>
          <t>20220845</t>
        </is>
      </c>
      <c r="AW271" t="inlineStr">
        <is>
          <t>991001450659702656</t>
        </is>
      </c>
      <c r="AX271" t="inlineStr">
        <is>
          <t>991001450659702656</t>
        </is>
      </c>
      <c r="AY271" t="inlineStr">
        <is>
          <t>2261198160002656</t>
        </is>
      </c>
      <c r="AZ271" t="inlineStr">
        <is>
          <t>BOOK</t>
        </is>
      </c>
      <c r="BB271" t="inlineStr">
        <is>
          <t>9780849355646</t>
        </is>
      </c>
      <c r="BC271" t="inlineStr">
        <is>
          <t>30001001882812</t>
        </is>
      </c>
      <c r="BD271" t="inlineStr">
        <is>
          <t>893552518</t>
        </is>
      </c>
    </row>
    <row r="272">
      <c r="A272" t="inlineStr">
        <is>
          <t>No</t>
        </is>
      </c>
      <c r="B272" t="inlineStr">
        <is>
          <t>QU 85 Z43m 1990</t>
        </is>
      </c>
      <c r="C272" t="inlineStr">
        <is>
          <t>0                      QU 0085000Z  43m         1990</t>
        </is>
      </c>
      <c r="D272" t="inlineStr">
        <is>
          <t>Medicinal chemistry of steroids / F.J. Zeelen.</t>
        </is>
      </c>
      <c r="F272" t="inlineStr">
        <is>
          <t>No</t>
        </is>
      </c>
      <c r="G272" t="inlineStr">
        <is>
          <t>1</t>
        </is>
      </c>
      <c r="H272" t="inlineStr">
        <is>
          <t>No</t>
        </is>
      </c>
      <c r="I272" t="inlineStr">
        <is>
          <t>No</t>
        </is>
      </c>
      <c r="J272" t="inlineStr">
        <is>
          <t>0</t>
        </is>
      </c>
      <c r="K272" t="inlineStr">
        <is>
          <t>Zeelen, F. J.</t>
        </is>
      </c>
      <c r="L272" t="inlineStr">
        <is>
          <t>Amsterdam ; New York : Elsevier ; New York, NY, USA : Distributors for the U.S. and Canada, Elsevier Science Pub. Co., c1990.</t>
        </is>
      </c>
      <c r="M272" t="inlineStr">
        <is>
          <t>1990</t>
        </is>
      </c>
      <c r="O272" t="inlineStr">
        <is>
          <t>eng</t>
        </is>
      </c>
      <c r="P272" t="inlineStr">
        <is>
          <t xml:space="preserve">ne </t>
        </is>
      </c>
      <c r="Q272" t="inlineStr">
        <is>
          <t>Pharmacochemistry library ; v. 15</t>
        </is>
      </c>
      <c r="R272" t="inlineStr">
        <is>
          <t xml:space="preserve">QU </t>
        </is>
      </c>
      <c r="S272" t="n">
        <v>9</v>
      </c>
      <c r="T272" t="n">
        <v>9</v>
      </c>
      <c r="U272" t="inlineStr">
        <is>
          <t>2006-10-05</t>
        </is>
      </c>
      <c r="V272" t="inlineStr">
        <is>
          <t>2006-10-05</t>
        </is>
      </c>
      <c r="W272" t="inlineStr">
        <is>
          <t>1991-01-28</t>
        </is>
      </c>
      <c r="X272" t="inlineStr">
        <is>
          <t>1991-01-28</t>
        </is>
      </c>
      <c r="Y272" t="n">
        <v>94</v>
      </c>
      <c r="Z272" t="n">
        <v>55</v>
      </c>
      <c r="AA272" t="n">
        <v>57</v>
      </c>
      <c r="AB272" t="n">
        <v>1</v>
      </c>
      <c r="AC272" t="n">
        <v>1</v>
      </c>
      <c r="AD272" t="n">
        <v>1</v>
      </c>
      <c r="AE272" t="n">
        <v>1</v>
      </c>
      <c r="AF272" t="n">
        <v>0</v>
      </c>
      <c r="AG272" t="n">
        <v>0</v>
      </c>
      <c r="AH272" t="n">
        <v>1</v>
      </c>
      <c r="AI272" t="n">
        <v>1</v>
      </c>
      <c r="AJ272" t="n">
        <v>0</v>
      </c>
      <c r="AK272" t="n">
        <v>0</v>
      </c>
      <c r="AL272" t="n">
        <v>0</v>
      </c>
      <c r="AM272" t="n">
        <v>0</v>
      </c>
      <c r="AN272" t="n">
        <v>0</v>
      </c>
      <c r="AO272" t="n">
        <v>0</v>
      </c>
      <c r="AP272" t="inlineStr">
        <is>
          <t>No</t>
        </is>
      </c>
      <c r="AQ272" t="inlineStr">
        <is>
          <t>Yes</t>
        </is>
      </c>
      <c r="AR272">
        <f>HYPERLINK("http://catalog.hathitrust.org/Record/002441520","HathiTrust Record")</f>
        <v/>
      </c>
      <c r="AS272">
        <f>HYPERLINK("https://creighton-primo.hosted.exlibrisgroup.com/primo-explore/search?tab=default_tab&amp;search_scope=EVERYTHING&amp;vid=01CRU&amp;lang=en_US&amp;offset=0&amp;query=any,contains,991000816119702656","Catalog Record")</f>
        <v/>
      </c>
      <c r="AT272">
        <f>HYPERLINK("http://www.worldcat.org/oclc/22311309","WorldCat Record")</f>
        <v/>
      </c>
      <c r="AU272" t="inlineStr">
        <is>
          <t>24043991:eng</t>
        </is>
      </c>
      <c r="AV272" t="inlineStr">
        <is>
          <t>22311309</t>
        </is>
      </c>
      <c r="AW272" t="inlineStr">
        <is>
          <t>991000816119702656</t>
        </is>
      </c>
      <c r="AX272" t="inlineStr">
        <is>
          <t>991000816119702656</t>
        </is>
      </c>
      <c r="AY272" t="inlineStr">
        <is>
          <t>2264504250002656</t>
        </is>
      </c>
      <c r="AZ272" t="inlineStr">
        <is>
          <t>BOOK</t>
        </is>
      </c>
      <c r="BB272" t="inlineStr">
        <is>
          <t>9780444887276</t>
        </is>
      </c>
      <c r="BC272" t="inlineStr">
        <is>
          <t>30001002086413</t>
        </is>
      </c>
      <c r="BD272" t="inlineStr">
        <is>
          <t>893120487</t>
        </is>
      </c>
    </row>
    <row r="273">
      <c r="A273" t="inlineStr">
        <is>
          <t>No</t>
        </is>
      </c>
      <c r="B273" t="inlineStr">
        <is>
          <t>QU 87 M592 1990</t>
        </is>
      </c>
      <c r="C273" t="inlineStr">
        <is>
          <t>0                      QU 0087000M  592         1990</t>
        </is>
      </c>
      <c r="D273" t="inlineStr">
        <is>
          <t>Methods in inositide research / editor, Robin F. Irvine.</t>
        </is>
      </c>
      <c r="F273" t="inlineStr">
        <is>
          <t>No</t>
        </is>
      </c>
      <c r="G273" t="inlineStr">
        <is>
          <t>1</t>
        </is>
      </c>
      <c r="H273" t="inlineStr">
        <is>
          <t>No</t>
        </is>
      </c>
      <c r="I273" t="inlineStr">
        <is>
          <t>No</t>
        </is>
      </c>
      <c r="J273" t="inlineStr">
        <is>
          <t>0</t>
        </is>
      </c>
      <c r="L273" t="inlineStr">
        <is>
          <t>New York : Raven Press, c1990.</t>
        </is>
      </c>
      <c r="M273" t="inlineStr">
        <is>
          <t>1990</t>
        </is>
      </c>
      <c r="O273" t="inlineStr">
        <is>
          <t>eng</t>
        </is>
      </c>
      <c r="P273" t="inlineStr">
        <is>
          <t>xxu</t>
        </is>
      </c>
      <c r="R273" t="inlineStr">
        <is>
          <t xml:space="preserve">QU </t>
        </is>
      </c>
      <c r="S273" t="n">
        <v>5</v>
      </c>
      <c r="T273" t="n">
        <v>5</v>
      </c>
      <c r="U273" t="inlineStr">
        <is>
          <t>1992-08-04</t>
        </is>
      </c>
      <c r="V273" t="inlineStr">
        <is>
          <t>1992-08-04</t>
        </is>
      </c>
      <c r="W273" t="inlineStr">
        <is>
          <t>1992-03-31</t>
        </is>
      </c>
      <c r="X273" t="inlineStr">
        <is>
          <t>1992-03-31</t>
        </is>
      </c>
      <c r="Y273" t="n">
        <v>170</v>
      </c>
      <c r="Z273" t="n">
        <v>110</v>
      </c>
      <c r="AA273" t="n">
        <v>112</v>
      </c>
      <c r="AB273" t="n">
        <v>2</v>
      </c>
      <c r="AC273" t="n">
        <v>2</v>
      </c>
      <c r="AD273" t="n">
        <v>5</v>
      </c>
      <c r="AE273" t="n">
        <v>5</v>
      </c>
      <c r="AF273" t="n">
        <v>1</v>
      </c>
      <c r="AG273" t="n">
        <v>1</v>
      </c>
      <c r="AH273" t="n">
        <v>2</v>
      </c>
      <c r="AI273" t="n">
        <v>2</v>
      </c>
      <c r="AJ273" t="n">
        <v>3</v>
      </c>
      <c r="AK273" t="n">
        <v>3</v>
      </c>
      <c r="AL273" t="n">
        <v>1</v>
      </c>
      <c r="AM273" t="n">
        <v>1</v>
      </c>
      <c r="AN273" t="n">
        <v>0</v>
      </c>
      <c r="AO273" t="n">
        <v>0</v>
      </c>
      <c r="AP273" t="inlineStr">
        <is>
          <t>No</t>
        </is>
      </c>
      <c r="AQ273" t="inlineStr">
        <is>
          <t>Yes</t>
        </is>
      </c>
      <c r="AR273">
        <f>HYPERLINK("http://catalog.hathitrust.org/Record/002235326","HathiTrust Record")</f>
        <v/>
      </c>
      <c r="AS273">
        <f>HYPERLINK("https://creighton-primo.hosted.exlibrisgroup.com/primo-explore/search?tab=default_tab&amp;search_scope=EVERYTHING&amp;vid=01CRU&amp;lang=en_US&amp;offset=0&amp;query=any,contains,991001299009702656","Catalog Record")</f>
        <v/>
      </c>
      <c r="AT273">
        <f>HYPERLINK("http://www.worldcat.org/oclc/21760237","WorldCat Record")</f>
        <v/>
      </c>
      <c r="AU273" t="inlineStr">
        <is>
          <t>23004125:eng</t>
        </is>
      </c>
      <c r="AV273" t="inlineStr">
        <is>
          <t>21760237</t>
        </is>
      </c>
      <c r="AW273" t="inlineStr">
        <is>
          <t>991001299009702656</t>
        </is>
      </c>
      <c r="AX273" t="inlineStr">
        <is>
          <t>991001299009702656</t>
        </is>
      </c>
      <c r="AY273" t="inlineStr">
        <is>
          <t>2259564030002656</t>
        </is>
      </c>
      <c r="AZ273" t="inlineStr">
        <is>
          <t>BOOK</t>
        </is>
      </c>
      <c r="BB273" t="inlineStr">
        <is>
          <t>9780881676778</t>
        </is>
      </c>
      <c r="BC273" t="inlineStr">
        <is>
          <t>30001002411108</t>
        </is>
      </c>
      <c r="BD273" t="inlineStr">
        <is>
          <t>893465388</t>
        </is>
      </c>
    </row>
    <row r="274">
      <c r="A274" t="inlineStr">
        <is>
          <t>No</t>
        </is>
      </c>
      <c r="B274" t="inlineStr">
        <is>
          <t>QU 90 C267 1980</t>
        </is>
      </c>
      <c r="C274" t="inlineStr">
        <is>
          <t>0                      QU 0090000C  267         1980</t>
        </is>
      </c>
      <c r="D274" t="inlineStr">
        <is>
          <t>Cardiovascular pharmacology of the prostaglandins / editors, Arnold G. Herman ... [et al.].</t>
        </is>
      </c>
      <c r="F274" t="inlineStr">
        <is>
          <t>No</t>
        </is>
      </c>
      <c r="G274" t="inlineStr">
        <is>
          <t>1</t>
        </is>
      </c>
      <c r="H274" t="inlineStr">
        <is>
          <t>No</t>
        </is>
      </c>
      <c r="I274" t="inlineStr">
        <is>
          <t>No</t>
        </is>
      </c>
      <c r="J274" t="inlineStr">
        <is>
          <t>0</t>
        </is>
      </c>
      <c r="L274" t="inlineStr">
        <is>
          <t>New York, N.Y. : Raven Press, c1982.</t>
        </is>
      </c>
      <c r="M274" t="inlineStr">
        <is>
          <t>1982</t>
        </is>
      </c>
      <c r="O274" t="inlineStr">
        <is>
          <t>eng</t>
        </is>
      </c>
      <c r="P274" t="inlineStr">
        <is>
          <t>xxu</t>
        </is>
      </c>
      <c r="R274" t="inlineStr">
        <is>
          <t xml:space="preserve">QU </t>
        </is>
      </c>
      <c r="S274" t="n">
        <v>2</v>
      </c>
      <c r="T274" t="n">
        <v>2</v>
      </c>
      <c r="U274" t="inlineStr">
        <is>
          <t>1995-12-15</t>
        </is>
      </c>
      <c r="V274" t="inlineStr">
        <is>
          <t>1995-12-15</t>
        </is>
      </c>
      <c r="W274" t="inlineStr">
        <is>
          <t>1988-01-28</t>
        </is>
      </c>
      <c r="X274" t="inlineStr">
        <is>
          <t>1988-01-28</t>
        </is>
      </c>
      <c r="Y274" t="n">
        <v>120</v>
      </c>
      <c r="Z274" t="n">
        <v>85</v>
      </c>
      <c r="AA274" t="n">
        <v>87</v>
      </c>
      <c r="AB274" t="n">
        <v>1</v>
      </c>
      <c r="AC274" t="n">
        <v>1</v>
      </c>
      <c r="AD274" t="n">
        <v>1</v>
      </c>
      <c r="AE274" t="n">
        <v>1</v>
      </c>
      <c r="AF274" t="n">
        <v>0</v>
      </c>
      <c r="AG274" t="n">
        <v>0</v>
      </c>
      <c r="AH274" t="n">
        <v>1</v>
      </c>
      <c r="AI274" t="n">
        <v>1</v>
      </c>
      <c r="AJ274" t="n">
        <v>1</v>
      </c>
      <c r="AK274" t="n">
        <v>1</v>
      </c>
      <c r="AL274" t="n">
        <v>0</v>
      </c>
      <c r="AM274" t="n">
        <v>0</v>
      </c>
      <c r="AN274" t="n">
        <v>0</v>
      </c>
      <c r="AO274" t="n">
        <v>0</v>
      </c>
      <c r="AP274" t="inlineStr">
        <is>
          <t>No</t>
        </is>
      </c>
      <c r="AQ274" t="inlineStr">
        <is>
          <t>Yes</t>
        </is>
      </c>
      <c r="AR274">
        <f>HYPERLINK("http://catalog.hathitrust.org/Record/000104065","HathiTrust Record")</f>
        <v/>
      </c>
      <c r="AS274">
        <f>HYPERLINK("https://creighton-primo.hosted.exlibrisgroup.com/primo-explore/search?tab=default_tab&amp;search_scope=EVERYTHING&amp;vid=01CRU&amp;lang=en_US&amp;offset=0&amp;query=any,contains,991000899219702656","Catalog Record")</f>
        <v/>
      </c>
      <c r="AT274">
        <f>HYPERLINK("http://www.worldcat.org/oclc/8385985","WorldCat Record")</f>
        <v/>
      </c>
      <c r="AU274" t="inlineStr">
        <is>
          <t>355921570:eng</t>
        </is>
      </c>
      <c r="AV274" t="inlineStr">
        <is>
          <t>8385985</t>
        </is>
      </c>
      <c r="AW274" t="inlineStr">
        <is>
          <t>991000899219702656</t>
        </is>
      </c>
      <c r="AX274" t="inlineStr">
        <is>
          <t>991000899219702656</t>
        </is>
      </c>
      <c r="AY274" t="inlineStr">
        <is>
          <t>2264026740002656</t>
        </is>
      </c>
      <c r="AZ274" t="inlineStr">
        <is>
          <t>BOOK</t>
        </is>
      </c>
      <c r="BB274" t="inlineStr">
        <is>
          <t>9780890046296</t>
        </is>
      </c>
      <c r="BC274" t="inlineStr">
        <is>
          <t>30001000159584</t>
        </is>
      </c>
      <c r="BD274" t="inlineStr">
        <is>
          <t>893731499</t>
        </is>
      </c>
    </row>
    <row r="275">
      <c r="A275" t="inlineStr">
        <is>
          <t>No</t>
        </is>
      </c>
      <c r="B275" t="inlineStr">
        <is>
          <t>QU 90 C641 1980</t>
        </is>
      </c>
      <c r="C275" t="inlineStr">
        <is>
          <t>0                      QU 0090000C  641         1980</t>
        </is>
      </c>
      <c r="D275" t="inlineStr">
        <is>
          <t>Clinical pharmacology of prostacyclin / editors, Peter J. Lewis, John O'Grady.</t>
        </is>
      </c>
      <c r="F275" t="inlineStr">
        <is>
          <t>No</t>
        </is>
      </c>
      <c r="G275" t="inlineStr">
        <is>
          <t>1</t>
        </is>
      </c>
      <c r="H275" t="inlineStr">
        <is>
          <t>No</t>
        </is>
      </c>
      <c r="I275" t="inlineStr">
        <is>
          <t>No</t>
        </is>
      </c>
      <c r="J275" t="inlineStr">
        <is>
          <t>0</t>
        </is>
      </c>
      <c r="L275" t="inlineStr">
        <is>
          <t>New York : Raven Press, c1981.</t>
        </is>
      </c>
      <c r="M275" t="inlineStr">
        <is>
          <t>1981</t>
        </is>
      </c>
      <c r="O275" t="inlineStr">
        <is>
          <t>eng</t>
        </is>
      </c>
      <c r="P275" t="inlineStr">
        <is>
          <t>xxu</t>
        </is>
      </c>
      <c r="R275" t="inlineStr">
        <is>
          <t xml:space="preserve">QU </t>
        </is>
      </c>
      <c r="S275" t="n">
        <v>2</v>
      </c>
      <c r="T275" t="n">
        <v>2</v>
      </c>
      <c r="U275" t="inlineStr">
        <is>
          <t>1988-05-03</t>
        </is>
      </c>
      <c r="V275" t="inlineStr">
        <is>
          <t>1988-05-03</t>
        </is>
      </c>
      <c r="W275" t="inlineStr">
        <is>
          <t>1988-01-28</t>
        </is>
      </c>
      <c r="X275" t="inlineStr">
        <is>
          <t>1988-01-28</t>
        </is>
      </c>
      <c r="Y275" t="n">
        <v>111</v>
      </c>
      <c r="Z275" t="n">
        <v>73</v>
      </c>
      <c r="AA275" t="n">
        <v>73</v>
      </c>
      <c r="AB275" t="n">
        <v>1</v>
      </c>
      <c r="AC275" t="n">
        <v>1</v>
      </c>
      <c r="AD275" t="n">
        <v>1</v>
      </c>
      <c r="AE275" t="n">
        <v>1</v>
      </c>
      <c r="AF275" t="n">
        <v>0</v>
      </c>
      <c r="AG275" t="n">
        <v>0</v>
      </c>
      <c r="AH275" t="n">
        <v>1</v>
      </c>
      <c r="AI275" t="n">
        <v>1</v>
      </c>
      <c r="AJ275" t="n">
        <v>0</v>
      </c>
      <c r="AK275" t="n">
        <v>0</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HYPERLINK("https://creighton-primo.hosted.exlibrisgroup.com/primo-explore/search?tab=default_tab&amp;search_scope=EVERYTHING&amp;vid=01CRU&amp;lang=en_US&amp;offset=0&amp;query=any,contains,991000899309702656","Catalog Record")</f>
        <v/>
      </c>
      <c r="AT275">
        <f>HYPERLINK("http://www.worldcat.org/oclc/7306361","WorldCat Record")</f>
        <v/>
      </c>
      <c r="AU275" t="inlineStr">
        <is>
          <t>995120824:eng</t>
        </is>
      </c>
      <c r="AV275" t="inlineStr">
        <is>
          <t>7306361</t>
        </is>
      </c>
      <c r="AW275" t="inlineStr">
        <is>
          <t>991000899309702656</t>
        </is>
      </c>
      <c r="AX275" t="inlineStr">
        <is>
          <t>991000899309702656</t>
        </is>
      </c>
      <c r="AY275" t="inlineStr">
        <is>
          <t>2270717570002656</t>
        </is>
      </c>
      <c r="AZ275" t="inlineStr">
        <is>
          <t>BOOK</t>
        </is>
      </c>
      <c r="BB275" t="inlineStr">
        <is>
          <t>9780890045916</t>
        </is>
      </c>
      <c r="BC275" t="inlineStr">
        <is>
          <t>30001000159592</t>
        </is>
      </c>
      <c r="BD275" t="inlineStr">
        <is>
          <t>893736004</t>
        </is>
      </c>
    </row>
    <row r="276">
      <c r="A276" t="inlineStr">
        <is>
          <t>No</t>
        </is>
      </c>
      <c r="B276" t="inlineStr">
        <is>
          <t>QU 90 C981p 1976</t>
        </is>
      </c>
      <c r="C276" t="inlineStr">
        <is>
          <t>0                      QU 0090000C  981p        1976</t>
        </is>
      </c>
      <c r="D276" t="inlineStr">
        <is>
          <t>Prostaglandins : an introduction to their biochemistry, physiology, and pharmacology / P. B. Curtis-Prior.</t>
        </is>
      </c>
      <c r="F276" t="inlineStr">
        <is>
          <t>No</t>
        </is>
      </c>
      <c r="G276" t="inlineStr">
        <is>
          <t>1</t>
        </is>
      </c>
      <c r="H276" t="inlineStr">
        <is>
          <t>No</t>
        </is>
      </c>
      <c r="I276" t="inlineStr">
        <is>
          <t>No</t>
        </is>
      </c>
      <c r="J276" t="inlineStr">
        <is>
          <t>0</t>
        </is>
      </c>
      <c r="K276" t="inlineStr">
        <is>
          <t>Curtis-Prior, P. B.</t>
        </is>
      </c>
      <c r="L276" t="inlineStr">
        <is>
          <t>Amsterdam ; New York : North-Holland Pub. Co. ; New York : sole distributors for the U.S.A. and Canada, Elsevier/North-Holland, 1976.</t>
        </is>
      </c>
      <c r="M276" t="inlineStr">
        <is>
          <t>1976</t>
        </is>
      </c>
      <c r="O276" t="inlineStr">
        <is>
          <t>eng</t>
        </is>
      </c>
      <c r="P276" t="inlineStr">
        <is>
          <t xml:space="preserve">ne </t>
        </is>
      </c>
      <c r="R276" t="inlineStr">
        <is>
          <t xml:space="preserve">QU </t>
        </is>
      </c>
      <c r="S276" t="n">
        <v>6</v>
      </c>
      <c r="T276" t="n">
        <v>6</v>
      </c>
      <c r="U276" t="inlineStr">
        <is>
          <t>2002-06-17</t>
        </is>
      </c>
      <c r="V276" t="inlineStr">
        <is>
          <t>2002-06-17</t>
        </is>
      </c>
      <c r="W276" t="inlineStr">
        <is>
          <t>1987-12-29</t>
        </is>
      </c>
      <c r="X276" t="inlineStr">
        <is>
          <t>1987-12-29</t>
        </is>
      </c>
      <c r="Y276" t="n">
        <v>240</v>
      </c>
      <c r="Z276" t="n">
        <v>166</v>
      </c>
      <c r="AA276" t="n">
        <v>168</v>
      </c>
      <c r="AB276" t="n">
        <v>3</v>
      </c>
      <c r="AC276" t="n">
        <v>3</v>
      </c>
      <c r="AD276" t="n">
        <v>8</v>
      </c>
      <c r="AE276" t="n">
        <v>8</v>
      </c>
      <c r="AF276" t="n">
        <v>3</v>
      </c>
      <c r="AG276" t="n">
        <v>3</v>
      </c>
      <c r="AH276" t="n">
        <v>3</v>
      </c>
      <c r="AI276" t="n">
        <v>3</v>
      </c>
      <c r="AJ276" t="n">
        <v>4</v>
      </c>
      <c r="AK276" t="n">
        <v>4</v>
      </c>
      <c r="AL276" t="n">
        <v>2</v>
      </c>
      <c r="AM276" t="n">
        <v>2</v>
      </c>
      <c r="AN276" t="n">
        <v>0</v>
      </c>
      <c r="AO276" t="n">
        <v>0</v>
      </c>
      <c r="AP276" t="inlineStr">
        <is>
          <t>No</t>
        </is>
      </c>
      <c r="AQ276" t="inlineStr">
        <is>
          <t>Yes</t>
        </is>
      </c>
      <c r="AR276">
        <f>HYPERLINK("http://catalog.hathitrust.org/Record/000171394","HathiTrust Record")</f>
        <v/>
      </c>
      <c r="AS276">
        <f>HYPERLINK("https://creighton-primo.hosted.exlibrisgroup.com/primo-explore/search?tab=default_tab&amp;search_scope=EVERYTHING&amp;vid=01CRU&amp;lang=en_US&amp;offset=0&amp;query=any,contains,991000899729702656","Catalog Record")</f>
        <v/>
      </c>
      <c r="AT276">
        <f>HYPERLINK("http://www.worldcat.org/oclc/2718123","WorldCat Record")</f>
        <v/>
      </c>
      <c r="AU276" t="inlineStr">
        <is>
          <t>3768666255:eng</t>
        </is>
      </c>
      <c r="AV276" t="inlineStr">
        <is>
          <t>2718123</t>
        </is>
      </c>
      <c r="AW276" t="inlineStr">
        <is>
          <t>991000899729702656</t>
        </is>
      </c>
      <c r="AX276" t="inlineStr">
        <is>
          <t>991000899729702656</t>
        </is>
      </c>
      <c r="AY276" t="inlineStr">
        <is>
          <t>2271067500002656</t>
        </is>
      </c>
      <c r="AZ276" t="inlineStr">
        <is>
          <t>BOOK</t>
        </is>
      </c>
      <c r="BC276" t="inlineStr">
        <is>
          <t>30001000159758</t>
        </is>
      </c>
      <c r="BD276" t="inlineStr">
        <is>
          <t>893826147</t>
        </is>
      </c>
    </row>
    <row r="277">
      <c r="A277" t="inlineStr">
        <is>
          <t>No</t>
        </is>
      </c>
      <c r="B277" t="inlineStr">
        <is>
          <t>QU 90 F253 1994</t>
        </is>
      </c>
      <c r="C277" t="inlineStr">
        <is>
          <t>0                      QU 0090000F  253         1994</t>
        </is>
      </c>
      <c r="D277" t="inlineStr">
        <is>
          <t>Fatty acids and lipids : biological aspects / volume editors, Claudio Galli, Artemis P. Simopoulos, Elena Tremoli.</t>
        </is>
      </c>
      <c r="F277" t="inlineStr">
        <is>
          <t>No</t>
        </is>
      </c>
      <c r="G277" t="inlineStr">
        <is>
          <t>1</t>
        </is>
      </c>
      <c r="H277" t="inlineStr">
        <is>
          <t>No</t>
        </is>
      </c>
      <c r="I277" t="inlineStr">
        <is>
          <t>No</t>
        </is>
      </c>
      <c r="J277" t="inlineStr">
        <is>
          <t>0</t>
        </is>
      </c>
      <c r="L277" t="inlineStr">
        <is>
          <t>Basel ; New York : Karger, c1994.</t>
        </is>
      </c>
      <c r="M277" t="inlineStr">
        <is>
          <t>1994</t>
        </is>
      </c>
      <c r="O277" t="inlineStr">
        <is>
          <t>eng</t>
        </is>
      </c>
      <c r="P277" t="inlineStr">
        <is>
          <t xml:space="preserve">sz </t>
        </is>
      </c>
      <c r="Q277" t="inlineStr">
        <is>
          <t>World review of nutrition and dietetics ; vol. 75</t>
        </is>
      </c>
      <c r="R277" t="inlineStr">
        <is>
          <t xml:space="preserve">QU </t>
        </is>
      </c>
      <c r="S277" t="n">
        <v>5</v>
      </c>
      <c r="T277" t="n">
        <v>5</v>
      </c>
      <c r="U277" t="inlineStr">
        <is>
          <t>1998-09-23</t>
        </is>
      </c>
      <c r="V277" t="inlineStr">
        <is>
          <t>1998-09-23</t>
        </is>
      </c>
      <c r="W277" t="inlineStr">
        <is>
          <t>1995-01-10</t>
        </is>
      </c>
      <c r="X277" t="inlineStr">
        <is>
          <t>1995-01-10</t>
        </is>
      </c>
      <c r="Y277" t="n">
        <v>123</v>
      </c>
      <c r="Z277" t="n">
        <v>70</v>
      </c>
      <c r="AA277" t="n">
        <v>71</v>
      </c>
      <c r="AB277" t="n">
        <v>2</v>
      </c>
      <c r="AC277" t="n">
        <v>2</v>
      </c>
      <c r="AD277" t="n">
        <v>2</v>
      </c>
      <c r="AE277" t="n">
        <v>2</v>
      </c>
      <c r="AF277" t="n">
        <v>0</v>
      </c>
      <c r="AG277" t="n">
        <v>0</v>
      </c>
      <c r="AH277" t="n">
        <v>1</v>
      </c>
      <c r="AI277" t="n">
        <v>1</v>
      </c>
      <c r="AJ277" t="n">
        <v>0</v>
      </c>
      <c r="AK277" t="n">
        <v>0</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HYPERLINK("https://creighton-primo.hosted.exlibrisgroup.com/primo-explore/search?tab=default_tab&amp;search_scope=EVERYTHING&amp;vid=01CRU&amp;lang=en_US&amp;offset=0&amp;query=any,contains,991000684919702656","Catalog Record")</f>
        <v/>
      </c>
      <c r="AT277">
        <f>HYPERLINK("http://www.worldcat.org/oclc/30895602","WorldCat Record")</f>
        <v/>
      </c>
      <c r="AU277" t="inlineStr">
        <is>
          <t>808047297:eng</t>
        </is>
      </c>
      <c r="AV277" t="inlineStr">
        <is>
          <t>30895602</t>
        </is>
      </c>
      <c r="AW277" t="inlineStr">
        <is>
          <t>991000684919702656</t>
        </is>
      </c>
      <c r="AX277" t="inlineStr">
        <is>
          <t>991000684919702656</t>
        </is>
      </c>
      <c r="AY277" t="inlineStr">
        <is>
          <t>2270918290002656</t>
        </is>
      </c>
      <c r="AZ277" t="inlineStr">
        <is>
          <t>BOOK</t>
        </is>
      </c>
      <c r="BB277" t="inlineStr">
        <is>
          <t>9783805559591</t>
        </is>
      </c>
      <c r="BC277" t="inlineStr">
        <is>
          <t>30001002698753</t>
        </is>
      </c>
      <c r="BD277" t="inlineStr">
        <is>
          <t>893376755</t>
        </is>
      </c>
    </row>
    <row r="278">
      <c r="A278" t="inlineStr">
        <is>
          <t>No</t>
        </is>
      </c>
      <c r="B278" t="inlineStr">
        <is>
          <t>QU 90 H434 1985</t>
        </is>
      </c>
      <c r="C278" t="inlineStr">
        <is>
          <t>0                      QU 0090000H  434         1985</t>
        </is>
      </c>
      <c r="D278" t="inlineStr">
        <is>
          <t>Health effects of polyunsaturated fatty acids in seafoods / editors, Artemis P. Simopoulos, Robert R. Kifer, Roy E. Martin.</t>
        </is>
      </c>
      <c r="F278" t="inlineStr">
        <is>
          <t>No</t>
        </is>
      </c>
      <c r="G278" t="inlineStr">
        <is>
          <t>1</t>
        </is>
      </c>
      <c r="H278" t="inlineStr">
        <is>
          <t>No</t>
        </is>
      </c>
      <c r="I278" t="inlineStr">
        <is>
          <t>No</t>
        </is>
      </c>
      <c r="J278" t="inlineStr">
        <is>
          <t>0</t>
        </is>
      </c>
      <c r="L278" t="inlineStr">
        <is>
          <t>Orlando : Academic Press, c1986.</t>
        </is>
      </c>
      <c r="M278" t="inlineStr">
        <is>
          <t>1986</t>
        </is>
      </c>
      <c r="O278" t="inlineStr">
        <is>
          <t>eng</t>
        </is>
      </c>
      <c r="P278" t="inlineStr">
        <is>
          <t>xxu</t>
        </is>
      </c>
      <c r="R278" t="inlineStr">
        <is>
          <t xml:space="preserve">QU </t>
        </is>
      </c>
      <c r="S278" t="n">
        <v>2</v>
      </c>
      <c r="T278" t="n">
        <v>2</v>
      </c>
      <c r="U278" t="inlineStr">
        <is>
          <t>1998-09-23</t>
        </is>
      </c>
      <c r="V278" t="inlineStr">
        <is>
          <t>1998-09-23</t>
        </is>
      </c>
      <c r="W278" t="inlineStr">
        <is>
          <t>1988-01-28</t>
        </is>
      </c>
      <c r="X278" t="inlineStr">
        <is>
          <t>1988-01-28</t>
        </is>
      </c>
      <c r="Y278" t="n">
        <v>233</v>
      </c>
      <c r="Z278" t="n">
        <v>183</v>
      </c>
      <c r="AA278" t="n">
        <v>226</v>
      </c>
      <c r="AB278" t="n">
        <v>1</v>
      </c>
      <c r="AC278" t="n">
        <v>2</v>
      </c>
      <c r="AD278" t="n">
        <v>3</v>
      </c>
      <c r="AE278" t="n">
        <v>7</v>
      </c>
      <c r="AF278" t="n">
        <v>0</v>
      </c>
      <c r="AG278" t="n">
        <v>2</v>
      </c>
      <c r="AH278" t="n">
        <v>2</v>
      </c>
      <c r="AI278" t="n">
        <v>4</v>
      </c>
      <c r="AJ278" t="n">
        <v>1</v>
      </c>
      <c r="AK278" t="n">
        <v>1</v>
      </c>
      <c r="AL278" t="n">
        <v>0</v>
      </c>
      <c r="AM278" t="n">
        <v>1</v>
      </c>
      <c r="AN278" t="n">
        <v>0</v>
      </c>
      <c r="AO278" t="n">
        <v>0</v>
      </c>
      <c r="AP278" t="inlineStr">
        <is>
          <t>No</t>
        </is>
      </c>
      <c r="AQ278" t="inlineStr">
        <is>
          <t>Yes</t>
        </is>
      </c>
      <c r="AR278">
        <f>HYPERLINK("http://catalog.hathitrust.org/Record/000488505","HathiTrust Record")</f>
        <v/>
      </c>
      <c r="AS278">
        <f>HYPERLINK("https://creighton-primo.hosted.exlibrisgroup.com/primo-explore/search?tab=default_tab&amp;search_scope=EVERYTHING&amp;vid=01CRU&amp;lang=en_US&amp;offset=0&amp;query=any,contains,991001436559702656","Catalog Record")</f>
        <v/>
      </c>
      <c r="AT278">
        <f>HYPERLINK("http://www.worldcat.org/oclc/14068190","WorldCat Record")</f>
        <v/>
      </c>
      <c r="AU278" t="inlineStr">
        <is>
          <t>7220365:eng</t>
        </is>
      </c>
      <c r="AV278" t="inlineStr">
        <is>
          <t>14068190</t>
        </is>
      </c>
      <c r="AW278" t="inlineStr">
        <is>
          <t>991001436559702656</t>
        </is>
      </c>
      <c r="AX278" t="inlineStr">
        <is>
          <t>991001436559702656</t>
        </is>
      </c>
      <c r="AY278" t="inlineStr">
        <is>
          <t>2255705990002656</t>
        </is>
      </c>
      <c r="AZ278" t="inlineStr">
        <is>
          <t>BOOK</t>
        </is>
      </c>
      <c r="BB278" t="inlineStr">
        <is>
          <t>9780126443608</t>
        </is>
      </c>
      <c r="BC278" t="inlineStr">
        <is>
          <t>30001000529307</t>
        </is>
      </c>
      <c r="BD278" t="inlineStr">
        <is>
          <t>893633057</t>
        </is>
      </c>
    </row>
    <row r="279">
      <c r="A279" t="inlineStr">
        <is>
          <t>No</t>
        </is>
      </c>
      <c r="B279" t="inlineStr">
        <is>
          <t>QU 90 I61105h 1990</t>
        </is>
      </c>
      <c r="C279" t="inlineStr">
        <is>
          <t>0                      QU 0090000I  61105h      1990</t>
        </is>
      </c>
      <c r="D279" t="inlineStr">
        <is>
          <t>Health effects of [omega]3 polyunsaturated fatty acids in seafoods : proceedings of the 2nd International Conference on the Health Effects of [omega]3 Polyunsaturated Fatty Acids in Seafoods, Washington, D.C., March 20-23, 1990 / volume editors, Artemis P. Simopoulos ... [et al.].</t>
        </is>
      </c>
      <c r="F279" t="inlineStr">
        <is>
          <t>No</t>
        </is>
      </c>
      <c r="G279" t="inlineStr">
        <is>
          <t>1</t>
        </is>
      </c>
      <c r="H279" t="inlineStr">
        <is>
          <t>No</t>
        </is>
      </c>
      <c r="I279" t="inlineStr">
        <is>
          <t>No</t>
        </is>
      </c>
      <c r="J279" t="inlineStr">
        <is>
          <t>0</t>
        </is>
      </c>
      <c r="K279" t="inlineStr">
        <is>
          <t>International Conference on the Health Effects of [omega]3 Polyunsaturated Fatty Acids in Seafoods (2nd : 1990 : Washington, D.C.)</t>
        </is>
      </c>
      <c r="L279" t="inlineStr">
        <is>
          <t>Basel ; New York : Karger, c1991.</t>
        </is>
      </c>
      <c r="M279" t="inlineStr">
        <is>
          <t>1991</t>
        </is>
      </c>
      <c r="O279" t="inlineStr">
        <is>
          <t>eng</t>
        </is>
      </c>
      <c r="P279" t="inlineStr">
        <is>
          <t xml:space="preserve">sz </t>
        </is>
      </c>
      <c r="Q279" t="inlineStr">
        <is>
          <t>World review of nutrition and dietetics ; vol. 66</t>
        </is>
      </c>
      <c r="R279" t="inlineStr">
        <is>
          <t xml:space="preserve">QU </t>
        </is>
      </c>
      <c r="S279" t="n">
        <v>7</v>
      </c>
      <c r="T279" t="n">
        <v>7</v>
      </c>
      <c r="U279" t="inlineStr">
        <is>
          <t>1998-09-23</t>
        </is>
      </c>
      <c r="V279" t="inlineStr">
        <is>
          <t>1998-09-23</t>
        </is>
      </c>
      <c r="W279" t="inlineStr">
        <is>
          <t>1991-10-22</t>
        </is>
      </c>
      <c r="X279" t="inlineStr">
        <is>
          <t>1991-10-22</t>
        </is>
      </c>
      <c r="Y279" t="n">
        <v>54</v>
      </c>
      <c r="Z279" t="n">
        <v>32</v>
      </c>
      <c r="AA279" t="n">
        <v>85</v>
      </c>
      <c r="AB279" t="n">
        <v>1</v>
      </c>
      <c r="AC279" t="n">
        <v>2</v>
      </c>
      <c r="AD279" t="n">
        <v>1</v>
      </c>
      <c r="AE279" t="n">
        <v>2</v>
      </c>
      <c r="AF279" t="n">
        <v>0</v>
      </c>
      <c r="AG279" t="n">
        <v>0</v>
      </c>
      <c r="AH279" t="n">
        <v>1</v>
      </c>
      <c r="AI279" t="n">
        <v>1</v>
      </c>
      <c r="AJ279" t="n">
        <v>0</v>
      </c>
      <c r="AK279" t="n">
        <v>0</v>
      </c>
      <c r="AL279" t="n">
        <v>0</v>
      </c>
      <c r="AM279" t="n">
        <v>1</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HYPERLINK("https://creighton-primo.hosted.exlibrisgroup.com/primo-explore/search?tab=default_tab&amp;search_scope=EVERYTHING&amp;vid=01CRU&amp;lang=en_US&amp;offset=0&amp;query=any,contains,991001019629702656","Catalog Record")</f>
        <v/>
      </c>
      <c r="AT279">
        <f>HYPERLINK("http://www.worldcat.org/oclc/22862868","WorldCat Record")</f>
        <v/>
      </c>
      <c r="AU279" t="inlineStr">
        <is>
          <t>479066703:eng</t>
        </is>
      </c>
      <c r="AV279" t="inlineStr">
        <is>
          <t>22862868</t>
        </is>
      </c>
      <c r="AW279" t="inlineStr">
        <is>
          <t>991001019629702656</t>
        </is>
      </c>
      <c r="AX279" t="inlineStr">
        <is>
          <t>991001019629702656</t>
        </is>
      </c>
      <c r="AY279" t="inlineStr">
        <is>
          <t>2272463190002656</t>
        </is>
      </c>
      <c r="AZ279" t="inlineStr">
        <is>
          <t>BOOK</t>
        </is>
      </c>
      <c r="BB279" t="inlineStr">
        <is>
          <t>9783805552448</t>
        </is>
      </c>
      <c r="BC279" t="inlineStr">
        <is>
          <t>30001002241349</t>
        </is>
      </c>
      <c r="BD279" t="inlineStr">
        <is>
          <t>893374208</t>
        </is>
      </c>
    </row>
    <row r="280">
      <c r="A280" t="inlineStr">
        <is>
          <t>No</t>
        </is>
      </c>
      <c r="B280" t="inlineStr">
        <is>
          <t>QU 90 I6136 1991</t>
        </is>
      </c>
      <c r="C280" t="inlineStr">
        <is>
          <t>0                      QU 0090000I  6136        1991</t>
        </is>
      </c>
      <c r="D280" t="inlineStr">
        <is>
          <t>Prostaglandins, leukotrienes, lipoxins, and PAF : mechanism of action, molecular biology, and clinical applications / edited by J. Martyn Bailey.</t>
        </is>
      </c>
      <c r="F280" t="inlineStr">
        <is>
          <t>No</t>
        </is>
      </c>
      <c r="G280" t="inlineStr">
        <is>
          <t>1</t>
        </is>
      </c>
      <c r="H280" t="inlineStr">
        <is>
          <t>No</t>
        </is>
      </c>
      <c r="I280" t="inlineStr">
        <is>
          <t>No</t>
        </is>
      </c>
      <c r="J280" t="inlineStr">
        <is>
          <t>0</t>
        </is>
      </c>
      <c r="K280" t="inlineStr">
        <is>
          <t>International Washington Spring Symposium (11th : 1991 : George Washington University)</t>
        </is>
      </c>
      <c r="L280" t="inlineStr">
        <is>
          <t>New York : Plenum Press, c1991.</t>
        </is>
      </c>
      <c r="M280" t="inlineStr">
        <is>
          <t>1991</t>
        </is>
      </c>
      <c r="O280" t="inlineStr">
        <is>
          <t>eng</t>
        </is>
      </c>
      <c r="P280" t="inlineStr">
        <is>
          <t>xxu</t>
        </is>
      </c>
      <c r="Q280" t="inlineStr">
        <is>
          <t>GWUMC Department of Biochemistry annual spring symposia</t>
        </is>
      </c>
      <c r="R280" t="inlineStr">
        <is>
          <t xml:space="preserve">QU </t>
        </is>
      </c>
      <c r="S280" t="n">
        <v>40</v>
      </c>
      <c r="T280" t="n">
        <v>40</v>
      </c>
      <c r="U280" t="inlineStr">
        <is>
          <t>2009-04-28</t>
        </is>
      </c>
      <c r="V280" t="inlineStr">
        <is>
          <t>2009-04-28</t>
        </is>
      </c>
      <c r="W280" t="inlineStr">
        <is>
          <t>1992-01-03</t>
        </is>
      </c>
      <c r="X280" t="inlineStr">
        <is>
          <t>1992-01-03</t>
        </is>
      </c>
      <c r="Y280" t="n">
        <v>90</v>
      </c>
      <c r="Z280" t="n">
        <v>60</v>
      </c>
      <c r="AA280" t="n">
        <v>85</v>
      </c>
      <c r="AB280" t="n">
        <v>1</v>
      </c>
      <c r="AC280" t="n">
        <v>1</v>
      </c>
      <c r="AD280" t="n">
        <v>1</v>
      </c>
      <c r="AE280" t="n">
        <v>2</v>
      </c>
      <c r="AF280" t="n">
        <v>0</v>
      </c>
      <c r="AG280" t="n">
        <v>1</v>
      </c>
      <c r="AH280" t="n">
        <v>1</v>
      </c>
      <c r="AI280" t="n">
        <v>1</v>
      </c>
      <c r="AJ280" t="n">
        <v>0</v>
      </c>
      <c r="AK280" t="n">
        <v>1</v>
      </c>
      <c r="AL280" t="n">
        <v>0</v>
      </c>
      <c r="AM280" t="n">
        <v>0</v>
      </c>
      <c r="AN280" t="n">
        <v>0</v>
      </c>
      <c r="AO280" t="n">
        <v>0</v>
      </c>
      <c r="AP280" t="inlineStr">
        <is>
          <t>No</t>
        </is>
      </c>
      <c r="AQ280" t="inlineStr">
        <is>
          <t>Yes</t>
        </is>
      </c>
      <c r="AR280">
        <f>HYPERLINK("http://catalog.hathitrust.org/Record/002534124","HathiTrust Record")</f>
        <v/>
      </c>
      <c r="AS280">
        <f>HYPERLINK("https://creighton-primo.hosted.exlibrisgroup.com/primo-explore/search?tab=default_tab&amp;search_scope=EVERYTHING&amp;vid=01CRU&amp;lang=en_US&amp;offset=0&amp;query=any,contains,991001024369702656","Catalog Record")</f>
        <v/>
      </c>
      <c r="AT280">
        <f>HYPERLINK("http://www.worldcat.org/oclc/24550216","WorldCat Record")</f>
        <v/>
      </c>
      <c r="AU280" t="inlineStr">
        <is>
          <t>899709451:eng</t>
        </is>
      </c>
      <c r="AV280" t="inlineStr">
        <is>
          <t>24550216</t>
        </is>
      </c>
      <c r="AW280" t="inlineStr">
        <is>
          <t>991001024369702656</t>
        </is>
      </c>
      <c r="AX280" t="inlineStr">
        <is>
          <t>991001024369702656</t>
        </is>
      </c>
      <c r="AY280" t="inlineStr">
        <is>
          <t>2268690460002656</t>
        </is>
      </c>
      <c r="AZ280" t="inlineStr">
        <is>
          <t>BOOK</t>
        </is>
      </c>
      <c r="BB280" t="inlineStr">
        <is>
          <t>9780306440557</t>
        </is>
      </c>
      <c r="BC280" t="inlineStr">
        <is>
          <t>30001002242388</t>
        </is>
      </c>
      <c r="BD280" t="inlineStr">
        <is>
          <t>893363671</t>
        </is>
      </c>
    </row>
    <row r="281">
      <c r="A281" t="inlineStr">
        <is>
          <t>No</t>
        </is>
      </c>
      <c r="B281" t="inlineStr">
        <is>
          <t>QU 90 L6515 1985</t>
        </is>
      </c>
      <c r="C281" t="inlineStr">
        <is>
          <t>0                      QU 0090000L  6515        1985</t>
        </is>
      </c>
      <c r="D281" t="inlineStr">
        <is>
          <t>The Leukotrienes : their biological significance : a Biological Council symposium / editor, Priscilla J. Piper.</t>
        </is>
      </c>
      <c r="F281" t="inlineStr">
        <is>
          <t>No</t>
        </is>
      </c>
      <c r="G281" t="inlineStr">
        <is>
          <t>1</t>
        </is>
      </c>
      <c r="H281" t="inlineStr">
        <is>
          <t>No</t>
        </is>
      </c>
      <c r="I281" t="inlineStr">
        <is>
          <t>No</t>
        </is>
      </c>
      <c r="J281" t="inlineStr">
        <is>
          <t>0</t>
        </is>
      </c>
      <c r="L281" t="inlineStr">
        <is>
          <t>New York : Raven Press, c1986.</t>
        </is>
      </c>
      <c r="M281" t="inlineStr">
        <is>
          <t>1986</t>
        </is>
      </c>
      <c r="O281" t="inlineStr">
        <is>
          <t>eng</t>
        </is>
      </c>
      <c r="P281" t="inlineStr">
        <is>
          <t>nyu</t>
        </is>
      </c>
      <c r="R281" t="inlineStr">
        <is>
          <t xml:space="preserve">QU </t>
        </is>
      </c>
      <c r="S281" t="n">
        <v>24</v>
      </c>
      <c r="T281" t="n">
        <v>24</v>
      </c>
      <c r="U281" t="inlineStr">
        <is>
          <t>2009-04-28</t>
        </is>
      </c>
      <c r="V281" t="inlineStr">
        <is>
          <t>2009-04-28</t>
        </is>
      </c>
      <c r="W281" t="inlineStr">
        <is>
          <t>1988-01-28</t>
        </is>
      </c>
      <c r="X281" t="inlineStr">
        <is>
          <t>1988-01-28</t>
        </is>
      </c>
      <c r="Y281" t="n">
        <v>146</v>
      </c>
      <c r="Z281" t="n">
        <v>115</v>
      </c>
      <c r="AA281" t="n">
        <v>117</v>
      </c>
      <c r="AB281" t="n">
        <v>1</v>
      </c>
      <c r="AC281" t="n">
        <v>1</v>
      </c>
      <c r="AD281" t="n">
        <v>5</v>
      </c>
      <c r="AE281" t="n">
        <v>5</v>
      </c>
      <c r="AF281" t="n">
        <v>1</v>
      </c>
      <c r="AG281" t="n">
        <v>1</v>
      </c>
      <c r="AH281" t="n">
        <v>3</v>
      </c>
      <c r="AI281" t="n">
        <v>3</v>
      </c>
      <c r="AJ281" t="n">
        <v>2</v>
      </c>
      <c r="AK281" t="n">
        <v>2</v>
      </c>
      <c r="AL281" t="n">
        <v>0</v>
      </c>
      <c r="AM281" t="n">
        <v>0</v>
      </c>
      <c r="AN281" t="n">
        <v>0</v>
      </c>
      <c r="AO281" t="n">
        <v>0</v>
      </c>
      <c r="AP281" t="inlineStr">
        <is>
          <t>No</t>
        </is>
      </c>
      <c r="AQ281" t="inlineStr">
        <is>
          <t>Yes</t>
        </is>
      </c>
      <c r="AR281">
        <f>HYPERLINK("http://catalog.hathitrust.org/Record/000480434","HathiTrust Record")</f>
        <v/>
      </c>
      <c r="AS281">
        <f>HYPERLINK("https://creighton-primo.hosted.exlibrisgroup.com/primo-explore/search?tab=default_tab&amp;search_scope=EVERYTHING&amp;vid=01CRU&amp;lang=en_US&amp;offset=0&amp;query=any,contains,991000899349702656","Catalog Record")</f>
        <v/>
      </c>
      <c r="AT281">
        <f>HYPERLINK("http://www.worldcat.org/oclc/13423769","WorldCat Record")</f>
        <v/>
      </c>
      <c r="AU281" t="inlineStr">
        <is>
          <t>903480145:eng</t>
        </is>
      </c>
      <c r="AV281" t="inlineStr">
        <is>
          <t>13423769</t>
        </is>
      </c>
      <c r="AW281" t="inlineStr">
        <is>
          <t>991000899349702656</t>
        </is>
      </c>
      <c r="AX281" t="inlineStr">
        <is>
          <t>991000899349702656</t>
        </is>
      </c>
      <c r="AY281" t="inlineStr">
        <is>
          <t>2265924970002656</t>
        </is>
      </c>
      <c r="AZ281" t="inlineStr">
        <is>
          <t>BOOK</t>
        </is>
      </c>
      <c r="BB281" t="inlineStr">
        <is>
          <t>9780881672145</t>
        </is>
      </c>
      <c r="BC281" t="inlineStr">
        <is>
          <t>30001000159626</t>
        </is>
      </c>
      <c r="BD281" t="inlineStr">
        <is>
          <t>893464978</t>
        </is>
      </c>
    </row>
    <row r="282">
      <c r="A282" t="inlineStr">
        <is>
          <t>No</t>
        </is>
      </c>
      <c r="B282" t="inlineStr">
        <is>
          <t>QU 90 L652 1984</t>
        </is>
      </c>
      <c r="C282" t="inlineStr">
        <is>
          <t>0                      QU 0090000L  652         1984</t>
        </is>
      </c>
      <c r="D282" t="inlineStr">
        <is>
          <t>The Leukotrienes, chemistry and biology / edited by Lawrence W. Chakrin, Denis M. Bailey.</t>
        </is>
      </c>
      <c r="F282" t="inlineStr">
        <is>
          <t>No</t>
        </is>
      </c>
      <c r="G282" t="inlineStr">
        <is>
          <t>1</t>
        </is>
      </c>
      <c r="H282" t="inlineStr">
        <is>
          <t>No</t>
        </is>
      </c>
      <c r="I282" t="inlineStr">
        <is>
          <t>No</t>
        </is>
      </c>
      <c r="J282" t="inlineStr">
        <is>
          <t>0</t>
        </is>
      </c>
      <c r="L282" t="inlineStr">
        <is>
          <t>New York : Academic Press, c1984.</t>
        </is>
      </c>
      <c r="M282" t="inlineStr">
        <is>
          <t>1984</t>
        </is>
      </c>
      <c r="O282" t="inlineStr">
        <is>
          <t>eng</t>
        </is>
      </c>
      <c r="P282" t="inlineStr">
        <is>
          <t>xxu</t>
        </is>
      </c>
      <c r="Q282" t="inlineStr">
        <is>
          <t>Medicinal chemistry series</t>
        </is>
      </c>
      <c r="R282" t="inlineStr">
        <is>
          <t xml:space="preserve">QU </t>
        </is>
      </c>
      <c r="S282" t="n">
        <v>20</v>
      </c>
      <c r="T282" t="n">
        <v>20</v>
      </c>
      <c r="U282" t="inlineStr">
        <is>
          <t>2009-04-28</t>
        </is>
      </c>
      <c r="V282" t="inlineStr">
        <is>
          <t>2009-04-28</t>
        </is>
      </c>
      <c r="W282" t="inlineStr">
        <is>
          <t>1988-01-28</t>
        </is>
      </c>
      <c r="X282" t="inlineStr">
        <is>
          <t>1988-01-28</t>
        </is>
      </c>
      <c r="Y282" t="n">
        <v>225</v>
      </c>
      <c r="Z282" t="n">
        <v>163</v>
      </c>
      <c r="AA282" t="n">
        <v>218</v>
      </c>
      <c r="AB282" t="n">
        <v>2</v>
      </c>
      <c r="AC282" t="n">
        <v>3</v>
      </c>
      <c r="AD282" t="n">
        <v>7</v>
      </c>
      <c r="AE282" t="n">
        <v>10</v>
      </c>
      <c r="AF282" t="n">
        <v>1</v>
      </c>
      <c r="AG282" t="n">
        <v>3</v>
      </c>
      <c r="AH282" t="n">
        <v>5</v>
      </c>
      <c r="AI282" t="n">
        <v>6</v>
      </c>
      <c r="AJ282" t="n">
        <v>3</v>
      </c>
      <c r="AK282" t="n">
        <v>3</v>
      </c>
      <c r="AL282" t="n">
        <v>1</v>
      </c>
      <c r="AM282" t="n">
        <v>2</v>
      </c>
      <c r="AN282" t="n">
        <v>0</v>
      </c>
      <c r="AO282" t="n">
        <v>0</v>
      </c>
      <c r="AP282" t="inlineStr">
        <is>
          <t>No</t>
        </is>
      </c>
      <c r="AQ282" t="inlineStr">
        <is>
          <t>Yes</t>
        </is>
      </c>
      <c r="AR282">
        <f>HYPERLINK("http://catalog.hathitrust.org/Record/000163775","HathiTrust Record")</f>
        <v/>
      </c>
      <c r="AS282">
        <f>HYPERLINK("https://creighton-primo.hosted.exlibrisgroup.com/primo-explore/search?tab=default_tab&amp;search_scope=EVERYTHING&amp;vid=01CRU&amp;lang=en_US&amp;offset=0&amp;query=any,contains,991000899429702656","Catalog Record")</f>
        <v/>
      </c>
      <c r="AT282">
        <f>HYPERLINK("http://www.worldcat.org/oclc/10726981","WorldCat Record")</f>
        <v/>
      </c>
      <c r="AU282" t="inlineStr">
        <is>
          <t>796056196:eng</t>
        </is>
      </c>
      <c r="AV282" t="inlineStr">
        <is>
          <t>10726981</t>
        </is>
      </c>
      <c r="AW282" t="inlineStr">
        <is>
          <t>991000899429702656</t>
        </is>
      </c>
      <c r="AX282" t="inlineStr">
        <is>
          <t>991000899429702656</t>
        </is>
      </c>
      <c r="AY282" t="inlineStr">
        <is>
          <t>2262197890002656</t>
        </is>
      </c>
      <c r="AZ282" t="inlineStr">
        <is>
          <t>BOOK</t>
        </is>
      </c>
      <c r="BB282" t="inlineStr">
        <is>
          <t>9780121667504</t>
        </is>
      </c>
      <c r="BC282" t="inlineStr">
        <is>
          <t>30001000159634</t>
        </is>
      </c>
      <c r="BD282" t="inlineStr">
        <is>
          <t>893632429</t>
        </is>
      </c>
    </row>
    <row r="283">
      <c r="A283" t="inlineStr">
        <is>
          <t>No</t>
        </is>
      </c>
      <c r="B283" t="inlineStr">
        <is>
          <t>QU 90 N106p 1979</t>
        </is>
      </c>
      <c r="C283" t="inlineStr">
        <is>
          <t>0                      QU 0090000N  106p        1979</t>
        </is>
      </c>
      <c r="D283" t="inlineStr">
        <is>
          <t>The prostaglandin system : endoperoxides, prostacyclin, and thromboxanes / edited by F. Berti and G.P. Velo.</t>
        </is>
      </c>
      <c r="F283" t="inlineStr">
        <is>
          <t>No</t>
        </is>
      </c>
      <c r="G283" t="inlineStr">
        <is>
          <t>1</t>
        </is>
      </c>
      <c r="H283" t="inlineStr">
        <is>
          <t>No</t>
        </is>
      </c>
      <c r="I283" t="inlineStr">
        <is>
          <t>No</t>
        </is>
      </c>
      <c r="J283" t="inlineStr">
        <is>
          <t>0</t>
        </is>
      </c>
      <c r="K283" t="inlineStr">
        <is>
          <t>NATO Advanced Study Institute on Advances in Endoperoxide, Prostacyclin, and Thromboxane Research (1979 : Erice, Italy)</t>
        </is>
      </c>
      <c r="L283" t="inlineStr">
        <is>
          <t>New York : Plenum Press, published in cooperation with NATO Scientific Affairs Division, c1981.</t>
        </is>
      </c>
      <c r="M283" t="inlineStr">
        <is>
          <t>1981</t>
        </is>
      </c>
      <c r="O283" t="inlineStr">
        <is>
          <t>eng</t>
        </is>
      </c>
      <c r="P283" t="inlineStr">
        <is>
          <t>xxu</t>
        </is>
      </c>
      <c r="R283" t="inlineStr">
        <is>
          <t xml:space="preserve">QU </t>
        </is>
      </c>
      <c r="S283" t="n">
        <v>3</v>
      </c>
      <c r="T283" t="n">
        <v>3</v>
      </c>
      <c r="U283" t="inlineStr">
        <is>
          <t>2002-06-17</t>
        </is>
      </c>
      <c r="V283" t="inlineStr">
        <is>
          <t>2002-06-17</t>
        </is>
      </c>
      <c r="W283" t="inlineStr">
        <is>
          <t>1988-01-28</t>
        </is>
      </c>
      <c r="X283" t="inlineStr">
        <is>
          <t>1988-01-28</t>
        </is>
      </c>
      <c r="Y283" t="n">
        <v>186</v>
      </c>
      <c r="Z283" t="n">
        <v>145</v>
      </c>
      <c r="AA283" t="n">
        <v>164</v>
      </c>
      <c r="AB283" t="n">
        <v>3</v>
      </c>
      <c r="AC283" t="n">
        <v>3</v>
      </c>
      <c r="AD283" t="n">
        <v>2</v>
      </c>
      <c r="AE283" t="n">
        <v>3</v>
      </c>
      <c r="AF283" t="n">
        <v>0</v>
      </c>
      <c r="AG283" t="n">
        <v>1</v>
      </c>
      <c r="AH283" t="n">
        <v>0</v>
      </c>
      <c r="AI283" t="n">
        <v>0</v>
      </c>
      <c r="AJ283" t="n">
        <v>0</v>
      </c>
      <c r="AK283" t="n">
        <v>1</v>
      </c>
      <c r="AL283" t="n">
        <v>2</v>
      </c>
      <c r="AM283" t="n">
        <v>2</v>
      </c>
      <c r="AN283" t="n">
        <v>0</v>
      </c>
      <c r="AO283" t="n">
        <v>0</v>
      </c>
      <c r="AP283" t="inlineStr">
        <is>
          <t>No</t>
        </is>
      </c>
      <c r="AQ283" t="inlineStr">
        <is>
          <t>Yes</t>
        </is>
      </c>
      <c r="AR283">
        <f>HYPERLINK("http://catalog.hathitrust.org/Record/000271079","HathiTrust Record")</f>
        <v/>
      </c>
      <c r="AS283">
        <f>HYPERLINK("https://creighton-primo.hosted.exlibrisgroup.com/primo-explore/search?tab=default_tab&amp;search_scope=EVERYTHING&amp;vid=01CRU&amp;lang=en_US&amp;offset=0&amp;query=any,contains,991000899459702656","Catalog Record")</f>
        <v/>
      </c>
      <c r="AT283">
        <f>HYPERLINK("http://www.worldcat.org/oclc/7206152","WorldCat Record")</f>
        <v/>
      </c>
      <c r="AU283" t="inlineStr">
        <is>
          <t>796136062:eng</t>
        </is>
      </c>
      <c r="AV283" t="inlineStr">
        <is>
          <t>7206152</t>
        </is>
      </c>
      <c r="AW283" t="inlineStr">
        <is>
          <t>991000899459702656</t>
        </is>
      </c>
      <c r="AX283" t="inlineStr">
        <is>
          <t>991000899459702656</t>
        </is>
      </c>
      <c r="AY283" t="inlineStr">
        <is>
          <t>2272043490002656</t>
        </is>
      </c>
      <c r="AZ283" t="inlineStr">
        <is>
          <t>BOOK</t>
        </is>
      </c>
      <c r="BB283" t="inlineStr">
        <is>
          <t>9780306406454</t>
        </is>
      </c>
      <c r="BC283" t="inlineStr">
        <is>
          <t>30001000159642</t>
        </is>
      </c>
      <c r="BD283" t="inlineStr">
        <is>
          <t>893148574</t>
        </is>
      </c>
    </row>
    <row r="284">
      <c r="A284" t="inlineStr">
        <is>
          <t>No</t>
        </is>
      </c>
      <c r="B284" t="inlineStr">
        <is>
          <t>QU 90 N976 1981</t>
        </is>
      </c>
      <c r="C284" t="inlineStr">
        <is>
          <t>0                      QU 0090000N  976         1981</t>
        </is>
      </c>
      <c r="D284" t="inlineStr">
        <is>
          <t>Nutritional evaluation of long-chain fatty acids in fish oil / edited by S.M. Barlow, M.E. Stansby.</t>
        </is>
      </c>
      <c r="F284" t="inlineStr">
        <is>
          <t>No</t>
        </is>
      </c>
      <c r="G284" t="inlineStr">
        <is>
          <t>1</t>
        </is>
      </c>
      <c r="H284" t="inlineStr">
        <is>
          <t>No</t>
        </is>
      </c>
      <c r="I284" t="inlineStr">
        <is>
          <t>No</t>
        </is>
      </c>
      <c r="J284" t="inlineStr">
        <is>
          <t>0</t>
        </is>
      </c>
      <c r="L284" t="inlineStr">
        <is>
          <t>London ; New York : Academic, c1982.</t>
        </is>
      </c>
      <c r="M284" t="inlineStr">
        <is>
          <t>1982</t>
        </is>
      </c>
      <c r="O284" t="inlineStr">
        <is>
          <t>eng</t>
        </is>
      </c>
      <c r="P284" t="inlineStr">
        <is>
          <t>enk</t>
        </is>
      </c>
      <c r="R284" t="inlineStr">
        <is>
          <t xml:space="preserve">QU </t>
        </is>
      </c>
      <c r="S284" t="n">
        <v>1</v>
      </c>
      <c r="T284" t="n">
        <v>1</v>
      </c>
      <c r="U284" t="inlineStr">
        <is>
          <t>1998-09-23</t>
        </is>
      </c>
      <c r="V284" t="inlineStr">
        <is>
          <t>1998-09-23</t>
        </is>
      </c>
      <c r="W284" t="inlineStr">
        <is>
          <t>1988-01-28</t>
        </is>
      </c>
      <c r="X284" t="inlineStr">
        <is>
          <t>1988-01-28</t>
        </is>
      </c>
      <c r="Y284" t="n">
        <v>151</v>
      </c>
      <c r="Z284" t="n">
        <v>98</v>
      </c>
      <c r="AA284" t="n">
        <v>98</v>
      </c>
      <c r="AB284" t="n">
        <v>1</v>
      </c>
      <c r="AC284" t="n">
        <v>1</v>
      </c>
      <c r="AD284" t="n">
        <v>1</v>
      </c>
      <c r="AE284" t="n">
        <v>1</v>
      </c>
      <c r="AF284" t="n">
        <v>0</v>
      </c>
      <c r="AG284" t="n">
        <v>0</v>
      </c>
      <c r="AH284" t="n">
        <v>1</v>
      </c>
      <c r="AI284" t="n">
        <v>1</v>
      </c>
      <c r="AJ284" t="n">
        <v>0</v>
      </c>
      <c r="AK284" t="n">
        <v>0</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HYPERLINK("https://creighton-primo.hosted.exlibrisgroup.com/primo-explore/search?tab=default_tab&amp;search_scope=EVERYTHING&amp;vid=01CRU&amp;lang=en_US&amp;offset=0&amp;query=any,contains,991000899489702656","Catalog Record")</f>
        <v/>
      </c>
      <c r="AT284">
        <f>HYPERLINK("http://www.worldcat.org/oclc/22660732","WorldCat Record")</f>
        <v/>
      </c>
      <c r="AU284" t="inlineStr">
        <is>
          <t>24046732:eng</t>
        </is>
      </c>
      <c r="AV284" t="inlineStr">
        <is>
          <t>22660732</t>
        </is>
      </c>
      <c r="AW284" t="inlineStr">
        <is>
          <t>991000899489702656</t>
        </is>
      </c>
      <c r="AX284" t="inlineStr">
        <is>
          <t>991000899489702656</t>
        </is>
      </c>
      <c r="AY284" t="inlineStr">
        <is>
          <t>2267160780002656</t>
        </is>
      </c>
      <c r="AZ284" t="inlineStr">
        <is>
          <t>BOOK</t>
        </is>
      </c>
      <c r="BB284" t="inlineStr">
        <is>
          <t>9780120789207</t>
        </is>
      </c>
      <c r="BC284" t="inlineStr">
        <is>
          <t>30001000159667</t>
        </is>
      </c>
      <c r="BD284" t="inlineStr">
        <is>
          <t>893820703</t>
        </is>
      </c>
    </row>
    <row r="285">
      <c r="A285" t="inlineStr">
        <is>
          <t>No</t>
        </is>
      </c>
      <c r="B285" t="inlineStr">
        <is>
          <t>QU 90 P967135 1985</t>
        </is>
      </c>
      <c r="C285" t="inlineStr">
        <is>
          <t>0                      QU 0090000P  967135      1985</t>
        </is>
      </c>
      <c r="D285" t="inlineStr">
        <is>
          <t>Prostaglandins and immunity / editor, James S. Goodwin.</t>
        </is>
      </c>
      <c r="F285" t="inlineStr">
        <is>
          <t>No</t>
        </is>
      </c>
      <c r="G285" t="inlineStr">
        <is>
          <t>1</t>
        </is>
      </c>
      <c r="H285" t="inlineStr">
        <is>
          <t>No</t>
        </is>
      </c>
      <c r="I285" t="inlineStr">
        <is>
          <t>No</t>
        </is>
      </c>
      <c r="J285" t="inlineStr">
        <is>
          <t>0</t>
        </is>
      </c>
      <c r="L285" t="inlineStr">
        <is>
          <t>Boston : Nijhoff, c1985.</t>
        </is>
      </c>
      <c r="M285" t="inlineStr">
        <is>
          <t>1985</t>
        </is>
      </c>
      <c r="O285" t="inlineStr">
        <is>
          <t>eng</t>
        </is>
      </c>
      <c r="P285" t="inlineStr">
        <is>
          <t>xxu</t>
        </is>
      </c>
      <c r="Q285" t="inlineStr">
        <is>
          <t>Prostaglandins, leukotrienes, and cancer</t>
        </is>
      </c>
      <c r="R285" t="inlineStr">
        <is>
          <t xml:space="preserve">QU </t>
        </is>
      </c>
      <c r="S285" t="n">
        <v>10</v>
      </c>
      <c r="T285" t="n">
        <v>10</v>
      </c>
      <c r="U285" t="inlineStr">
        <is>
          <t>2003-04-07</t>
        </is>
      </c>
      <c r="V285" t="inlineStr">
        <is>
          <t>2003-04-07</t>
        </is>
      </c>
      <c r="W285" t="inlineStr">
        <is>
          <t>1988-01-28</t>
        </is>
      </c>
      <c r="X285" t="inlineStr">
        <is>
          <t>1988-01-28</t>
        </is>
      </c>
      <c r="Y285" t="n">
        <v>141</v>
      </c>
      <c r="Z285" t="n">
        <v>110</v>
      </c>
      <c r="AA285" t="n">
        <v>124</v>
      </c>
      <c r="AB285" t="n">
        <v>1</v>
      </c>
      <c r="AC285" t="n">
        <v>1</v>
      </c>
      <c r="AD285" t="n">
        <v>2</v>
      </c>
      <c r="AE285" t="n">
        <v>2</v>
      </c>
      <c r="AF285" t="n">
        <v>0</v>
      </c>
      <c r="AG285" t="n">
        <v>0</v>
      </c>
      <c r="AH285" t="n">
        <v>2</v>
      </c>
      <c r="AI285" t="n">
        <v>2</v>
      </c>
      <c r="AJ285" t="n">
        <v>0</v>
      </c>
      <c r="AK285" t="n">
        <v>0</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HYPERLINK("https://creighton-primo.hosted.exlibrisgroup.com/primo-explore/search?tab=default_tab&amp;search_scope=EVERYTHING&amp;vid=01CRU&amp;lang=en_US&amp;offset=0&amp;query=any,contains,991000899649702656","Catalog Record")</f>
        <v/>
      </c>
      <c r="AT285">
        <f>HYPERLINK("http://www.worldcat.org/oclc/11842282","WorldCat Record")</f>
        <v/>
      </c>
      <c r="AU285" t="inlineStr">
        <is>
          <t>4720875:eng</t>
        </is>
      </c>
      <c r="AV285" t="inlineStr">
        <is>
          <t>11842282</t>
        </is>
      </c>
      <c r="AW285" t="inlineStr">
        <is>
          <t>991000899649702656</t>
        </is>
      </c>
      <c r="AX285" t="inlineStr">
        <is>
          <t>991000899649702656</t>
        </is>
      </c>
      <c r="AY285" t="inlineStr">
        <is>
          <t>2255099810002656</t>
        </is>
      </c>
      <c r="AZ285" t="inlineStr">
        <is>
          <t>BOOK</t>
        </is>
      </c>
      <c r="BB285" t="inlineStr">
        <is>
          <t>9780898387230</t>
        </is>
      </c>
      <c r="BC285" t="inlineStr">
        <is>
          <t>30001000159733</t>
        </is>
      </c>
      <c r="BD285" t="inlineStr">
        <is>
          <t>893464979</t>
        </is>
      </c>
    </row>
    <row r="286">
      <c r="A286" t="inlineStr">
        <is>
          <t>No</t>
        </is>
      </c>
      <c r="B286" t="inlineStr">
        <is>
          <t>QU 90 P96715 1985</t>
        </is>
      </c>
      <c r="C286" t="inlineStr">
        <is>
          <t>0                      QU 0090000P  96715       1985</t>
        </is>
      </c>
      <c r="D286" t="inlineStr">
        <is>
          <t>Prostaglandins and membrane ion transport / editors, P. Braquet ... [et al.].</t>
        </is>
      </c>
      <c r="F286" t="inlineStr">
        <is>
          <t>No</t>
        </is>
      </c>
      <c r="G286" t="inlineStr">
        <is>
          <t>1</t>
        </is>
      </c>
      <c r="H286" t="inlineStr">
        <is>
          <t>No</t>
        </is>
      </c>
      <c r="I286" t="inlineStr">
        <is>
          <t>No</t>
        </is>
      </c>
      <c r="J286" t="inlineStr">
        <is>
          <t>0</t>
        </is>
      </c>
      <c r="L286" t="inlineStr">
        <is>
          <t>New York : Raven Press, c1985.</t>
        </is>
      </c>
      <c r="M286" t="inlineStr">
        <is>
          <t>1985</t>
        </is>
      </c>
      <c r="O286" t="inlineStr">
        <is>
          <t>eng</t>
        </is>
      </c>
      <c r="P286" t="inlineStr">
        <is>
          <t>xxu</t>
        </is>
      </c>
      <c r="Q286" t="inlineStr">
        <is>
          <t>Advances in ion transport regulation ; 1</t>
        </is>
      </c>
      <c r="R286" t="inlineStr">
        <is>
          <t xml:space="preserve">QU </t>
        </is>
      </c>
      <c r="S286" t="n">
        <v>7</v>
      </c>
      <c r="T286" t="n">
        <v>7</v>
      </c>
      <c r="U286" t="inlineStr">
        <is>
          <t>2003-04-07</t>
        </is>
      </c>
      <c r="V286" t="inlineStr">
        <is>
          <t>2003-04-07</t>
        </is>
      </c>
      <c r="W286" t="inlineStr">
        <is>
          <t>1988-01-28</t>
        </is>
      </c>
      <c r="X286" t="inlineStr">
        <is>
          <t>1988-01-28</t>
        </is>
      </c>
      <c r="Y286" t="n">
        <v>172</v>
      </c>
      <c r="Z286" t="n">
        <v>132</v>
      </c>
      <c r="AA286" t="n">
        <v>136</v>
      </c>
      <c r="AB286" t="n">
        <v>2</v>
      </c>
      <c r="AC286" t="n">
        <v>2</v>
      </c>
      <c r="AD286" t="n">
        <v>4</v>
      </c>
      <c r="AE286" t="n">
        <v>4</v>
      </c>
      <c r="AF286" t="n">
        <v>0</v>
      </c>
      <c r="AG286" t="n">
        <v>0</v>
      </c>
      <c r="AH286" t="n">
        <v>2</v>
      </c>
      <c r="AI286" t="n">
        <v>2</v>
      </c>
      <c r="AJ286" t="n">
        <v>2</v>
      </c>
      <c r="AK286" t="n">
        <v>2</v>
      </c>
      <c r="AL286" t="n">
        <v>1</v>
      </c>
      <c r="AM286" t="n">
        <v>1</v>
      </c>
      <c r="AN286" t="n">
        <v>0</v>
      </c>
      <c r="AO286" t="n">
        <v>0</v>
      </c>
      <c r="AP286" t="inlineStr">
        <is>
          <t>No</t>
        </is>
      </c>
      <c r="AQ286" t="inlineStr">
        <is>
          <t>Yes</t>
        </is>
      </c>
      <c r="AR286">
        <f>HYPERLINK("http://catalog.hathitrust.org/Record/000471378","HathiTrust Record")</f>
        <v/>
      </c>
      <c r="AS286">
        <f>HYPERLINK("https://creighton-primo.hosted.exlibrisgroup.com/primo-explore/search?tab=default_tab&amp;search_scope=EVERYTHING&amp;vid=01CRU&amp;lang=en_US&amp;offset=0&amp;query=any,contains,991000899609702656","Catalog Record")</f>
        <v/>
      </c>
      <c r="AT286">
        <f>HYPERLINK("http://www.worldcat.org/oclc/11306532","WorldCat Record")</f>
        <v/>
      </c>
      <c r="AU286" t="inlineStr">
        <is>
          <t>54672279:eng</t>
        </is>
      </c>
      <c r="AV286" t="inlineStr">
        <is>
          <t>11306532</t>
        </is>
      </c>
      <c r="AW286" t="inlineStr">
        <is>
          <t>991000899609702656</t>
        </is>
      </c>
      <c r="AX286" t="inlineStr">
        <is>
          <t>991000899609702656</t>
        </is>
      </c>
      <c r="AY286" t="inlineStr">
        <is>
          <t>2260121720002656</t>
        </is>
      </c>
      <c r="AZ286" t="inlineStr">
        <is>
          <t>BOOK</t>
        </is>
      </c>
      <c r="BB286" t="inlineStr">
        <is>
          <t>9780881670523</t>
        </is>
      </c>
      <c r="BC286" t="inlineStr">
        <is>
          <t>30001000159741</t>
        </is>
      </c>
      <c r="BD286" t="inlineStr">
        <is>
          <t>893632430</t>
        </is>
      </c>
    </row>
    <row r="287">
      <c r="A287" t="inlineStr">
        <is>
          <t>No</t>
        </is>
      </c>
      <c r="B287" t="inlineStr">
        <is>
          <t>QU 90 S991p 1972</t>
        </is>
      </c>
      <c r="C287" t="inlineStr">
        <is>
          <t>0                      QU 0090000S  991p        1972</t>
        </is>
      </c>
      <c r="D287" t="inlineStr">
        <is>
          <t>Prostaglandins and Cyclic AMP : biological action and clinical applications / Edited by Raymond H. Kahn [and] William E. M. Lands.</t>
        </is>
      </c>
      <c r="F287" t="inlineStr">
        <is>
          <t>No</t>
        </is>
      </c>
      <c r="G287" t="inlineStr">
        <is>
          <t>1</t>
        </is>
      </c>
      <c r="H287" t="inlineStr">
        <is>
          <t>No</t>
        </is>
      </c>
      <c r="I287" t="inlineStr">
        <is>
          <t>No</t>
        </is>
      </c>
      <c r="J287" t="inlineStr">
        <is>
          <t>0</t>
        </is>
      </c>
      <c r="K287" t="inlineStr">
        <is>
          <t>Symposium on the Medical Aspects of Prostaglandins and Cyclic AMP (1972 : University of Michigan)</t>
        </is>
      </c>
      <c r="L287" t="inlineStr">
        <is>
          <t>New York : Academic Press, 1973.</t>
        </is>
      </c>
      <c r="M287" t="inlineStr">
        <is>
          <t>1973</t>
        </is>
      </c>
      <c r="O287" t="inlineStr">
        <is>
          <t>eng</t>
        </is>
      </c>
      <c r="P287" t="inlineStr">
        <is>
          <t>nyu</t>
        </is>
      </c>
      <c r="R287" t="inlineStr">
        <is>
          <t xml:space="preserve">QU </t>
        </is>
      </c>
      <c r="S287" t="n">
        <v>9</v>
      </c>
      <c r="T287" t="n">
        <v>9</v>
      </c>
      <c r="U287" t="inlineStr">
        <is>
          <t>1994-10-03</t>
        </is>
      </c>
      <c r="V287" t="inlineStr">
        <is>
          <t>1994-10-03</t>
        </is>
      </c>
      <c r="W287" t="inlineStr">
        <is>
          <t>1988-02-29</t>
        </is>
      </c>
      <c r="X287" t="inlineStr">
        <is>
          <t>1988-02-29</t>
        </is>
      </c>
      <c r="Y287" t="n">
        <v>265</v>
      </c>
      <c r="Z287" t="n">
        <v>194</v>
      </c>
      <c r="AA287" t="n">
        <v>201</v>
      </c>
      <c r="AB287" t="n">
        <v>1</v>
      </c>
      <c r="AC287" t="n">
        <v>1</v>
      </c>
      <c r="AD287" t="n">
        <v>5</v>
      </c>
      <c r="AE287" t="n">
        <v>5</v>
      </c>
      <c r="AF287" t="n">
        <v>1</v>
      </c>
      <c r="AG287" t="n">
        <v>1</v>
      </c>
      <c r="AH287" t="n">
        <v>1</v>
      </c>
      <c r="AI287" t="n">
        <v>1</v>
      </c>
      <c r="AJ287" t="n">
        <v>3</v>
      </c>
      <c r="AK287" t="n">
        <v>3</v>
      </c>
      <c r="AL287" t="n">
        <v>0</v>
      </c>
      <c r="AM287" t="n">
        <v>0</v>
      </c>
      <c r="AN287" t="n">
        <v>0</v>
      </c>
      <c r="AO287" t="n">
        <v>0</v>
      </c>
      <c r="AP287" t="inlineStr">
        <is>
          <t>No</t>
        </is>
      </c>
      <c r="AQ287" t="inlineStr">
        <is>
          <t>Yes</t>
        </is>
      </c>
      <c r="AR287">
        <f>HYPERLINK("http://catalog.hathitrust.org/Record/001573217","HathiTrust Record")</f>
        <v/>
      </c>
      <c r="AS287">
        <f>HYPERLINK("https://creighton-primo.hosted.exlibrisgroup.com/primo-explore/search?tab=default_tab&amp;search_scope=EVERYTHING&amp;vid=01CRU&amp;lang=en_US&amp;offset=0&amp;query=any,contains,991000899819702656","Catalog Record")</f>
        <v/>
      </c>
      <c r="AT287">
        <f>HYPERLINK("http://www.worldcat.org/oclc/700631","WorldCat Record")</f>
        <v/>
      </c>
      <c r="AU287" t="inlineStr">
        <is>
          <t>1596509:eng</t>
        </is>
      </c>
      <c r="AV287" t="inlineStr">
        <is>
          <t>700631</t>
        </is>
      </c>
      <c r="AW287" t="inlineStr">
        <is>
          <t>991000899819702656</t>
        </is>
      </c>
      <c r="AX287" t="inlineStr">
        <is>
          <t>991000899819702656</t>
        </is>
      </c>
      <c r="AY287" t="inlineStr">
        <is>
          <t>2256602930002656</t>
        </is>
      </c>
      <c r="AZ287" t="inlineStr">
        <is>
          <t>BOOK</t>
        </is>
      </c>
      <c r="BC287" t="inlineStr">
        <is>
          <t>30001000159782</t>
        </is>
      </c>
      <c r="BD287" t="inlineStr">
        <is>
          <t>893632431</t>
        </is>
      </c>
    </row>
    <row r="288">
      <c r="A288" t="inlineStr">
        <is>
          <t>No</t>
        </is>
      </c>
      <c r="B288" t="inlineStr">
        <is>
          <t>QU 93 D962L 1995</t>
        </is>
      </c>
      <c r="C288" t="inlineStr">
        <is>
          <t>0                      QU 0093000D  962L        1995</t>
        </is>
      </c>
      <c r="D288" t="inlineStr">
        <is>
          <t>Lysophosphatidate signaling : cellular effects and molecular mechanisms / Marcel E. Durieux.</t>
        </is>
      </c>
      <c r="F288" t="inlineStr">
        <is>
          <t>No</t>
        </is>
      </c>
      <c r="G288" t="inlineStr">
        <is>
          <t>1</t>
        </is>
      </c>
      <c r="H288" t="inlineStr">
        <is>
          <t>No</t>
        </is>
      </c>
      <c r="I288" t="inlineStr">
        <is>
          <t>No</t>
        </is>
      </c>
      <c r="J288" t="inlineStr">
        <is>
          <t>0</t>
        </is>
      </c>
      <c r="K288" t="inlineStr">
        <is>
          <t>Durieux, Marcel E.</t>
        </is>
      </c>
      <c r="L288" t="inlineStr">
        <is>
          <t>New York : Springer-Verlag ; Austin, TX : R.G. Landes Co., c1995.</t>
        </is>
      </c>
      <c r="M288" t="inlineStr">
        <is>
          <t>1995</t>
        </is>
      </c>
      <c r="O288" t="inlineStr">
        <is>
          <t>eng</t>
        </is>
      </c>
      <c r="P288" t="inlineStr">
        <is>
          <t>nyu</t>
        </is>
      </c>
      <c r="Q288" t="inlineStr">
        <is>
          <t>Molecular biology intelligence unit</t>
        </is>
      </c>
      <c r="R288" t="inlineStr">
        <is>
          <t xml:space="preserve">QU </t>
        </is>
      </c>
      <c r="S288" t="n">
        <v>1</v>
      </c>
      <c r="T288" t="n">
        <v>1</v>
      </c>
      <c r="U288" t="inlineStr">
        <is>
          <t>1995-08-18</t>
        </is>
      </c>
      <c r="V288" t="inlineStr">
        <is>
          <t>1995-08-18</t>
        </is>
      </c>
      <c r="W288" t="inlineStr">
        <is>
          <t>1995-08-16</t>
        </is>
      </c>
      <c r="X288" t="inlineStr">
        <is>
          <t>1995-08-16</t>
        </is>
      </c>
      <c r="Y288" t="n">
        <v>84</v>
      </c>
      <c r="Z288" t="n">
        <v>60</v>
      </c>
      <c r="AA288" t="n">
        <v>60</v>
      </c>
      <c r="AB288" t="n">
        <v>1</v>
      </c>
      <c r="AC288" t="n">
        <v>1</v>
      </c>
      <c r="AD288" t="n">
        <v>1</v>
      </c>
      <c r="AE288" t="n">
        <v>1</v>
      </c>
      <c r="AF288" t="n">
        <v>0</v>
      </c>
      <c r="AG288" t="n">
        <v>0</v>
      </c>
      <c r="AH288" t="n">
        <v>1</v>
      </c>
      <c r="AI288" t="n">
        <v>1</v>
      </c>
      <c r="AJ288" t="n">
        <v>1</v>
      </c>
      <c r="AK288" t="n">
        <v>1</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HYPERLINK("https://creighton-primo.hosted.exlibrisgroup.com/primo-explore/search?tab=default_tab&amp;search_scope=EVERYTHING&amp;vid=01CRU&amp;lang=en_US&amp;offset=0&amp;query=any,contains,991001404269702656","Catalog Record")</f>
        <v/>
      </c>
      <c r="AT288">
        <f>HYPERLINK("http://www.worldcat.org/oclc/32275929","WorldCat Record")</f>
        <v/>
      </c>
      <c r="AU288" t="inlineStr">
        <is>
          <t>335036484:eng</t>
        </is>
      </c>
      <c r="AV288" t="inlineStr">
        <is>
          <t>32275929</t>
        </is>
      </c>
      <c r="AW288" t="inlineStr">
        <is>
          <t>991001404269702656</t>
        </is>
      </c>
      <c r="AX288" t="inlineStr">
        <is>
          <t>991001404269702656</t>
        </is>
      </c>
      <c r="AY288" t="inlineStr">
        <is>
          <t>2259837310002656</t>
        </is>
      </c>
      <c r="AZ288" t="inlineStr">
        <is>
          <t>BOOK</t>
        </is>
      </c>
      <c r="BB288" t="inlineStr">
        <is>
          <t>9781570592485</t>
        </is>
      </c>
      <c r="BC288" t="inlineStr">
        <is>
          <t>30001003149442</t>
        </is>
      </c>
      <c r="BD288" t="inlineStr">
        <is>
          <t>893287396</t>
        </is>
      </c>
    </row>
    <row r="289">
      <c r="A289" t="inlineStr">
        <is>
          <t>No</t>
        </is>
      </c>
      <c r="B289" t="inlineStr">
        <is>
          <t>QU 93 H233g 1997</t>
        </is>
      </c>
      <c r="C289" t="inlineStr">
        <is>
          <t>0                      QU 0093000H  233g        1997</t>
        </is>
      </c>
      <c r="D289" t="inlineStr">
        <is>
          <t>A guide to phospholipid chemistry / Donald J. Hanahan.</t>
        </is>
      </c>
      <c r="F289" t="inlineStr">
        <is>
          <t>No</t>
        </is>
      </c>
      <c r="G289" t="inlineStr">
        <is>
          <t>1</t>
        </is>
      </c>
      <c r="H289" t="inlineStr">
        <is>
          <t>No</t>
        </is>
      </c>
      <c r="I289" t="inlineStr">
        <is>
          <t>No</t>
        </is>
      </c>
      <c r="J289" t="inlineStr">
        <is>
          <t>1</t>
        </is>
      </c>
      <c r="K289" t="inlineStr">
        <is>
          <t>Hanahan, Donald J. (Donald James), 1919-</t>
        </is>
      </c>
      <c r="L289" t="inlineStr">
        <is>
          <t>New York : Oxford University Press, c1997.</t>
        </is>
      </c>
      <c r="M289" t="inlineStr">
        <is>
          <t>1997</t>
        </is>
      </c>
      <c r="O289" t="inlineStr">
        <is>
          <t>eng</t>
        </is>
      </c>
      <c r="P289" t="inlineStr">
        <is>
          <t>nyu</t>
        </is>
      </c>
      <c r="R289" t="inlineStr">
        <is>
          <t xml:space="preserve">QU </t>
        </is>
      </c>
      <c r="S289" t="n">
        <v>2</v>
      </c>
      <c r="T289" t="n">
        <v>2</v>
      </c>
      <c r="U289" t="inlineStr">
        <is>
          <t>1997-05-15</t>
        </is>
      </c>
      <c r="V289" t="inlineStr">
        <is>
          <t>1997-05-15</t>
        </is>
      </c>
      <c r="W289" t="inlineStr">
        <is>
          <t>1997-04-29</t>
        </is>
      </c>
      <c r="X289" t="inlineStr">
        <is>
          <t>1997-04-29</t>
        </is>
      </c>
      <c r="Y289" t="n">
        <v>224</v>
      </c>
      <c r="Z289" t="n">
        <v>179</v>
      </c>
      <c r="AA289" t="n">
        <v>1090</v>
      </c>
      <c r="AB289" t="n">
        <v>3</v>
      </c>
      <c r="AC289" t="n">
        <v>15</v>
      </c>
      <c r="AD289" t="n">
        <v>9</v>
      </c>
      <c r="AE289" t="n">
        <v>45</v>
      </c>
      <c r="AF289" t="n">
        <v>1</v>
      </c>
      <c r="AG289" t="n">
        <v>12</v>
      </c>
      <c r="AH289" t="n">
        <v>2</v>
      </c>
      <c r="AI289" t="n">
        <v>11</v>
      </c>
      <c r="AJ289" t="n">
        <v>6</v>
      </c>
      <c r="AK289" t="n">
        <v>15</v>
      </c>
      <c r="AL289" t="n">
        <v>2</v>
      </c>
      <c r="AM289" t="n">
        <v>13</v>
      </c>
      <c r="AN289" t="n">
        <v>0</v>
      </c>
      <c r="AO289" t="n">
        <v>2</v>
      </c>
      <c r="AP289" t="inlineStr">
        <is>
          <t>No</t>
        </is>
      </c>
      <c r="AQ289" t="inlineStr">
        <is>
          <t>No</t>
        </is>
      </c>
      <c r="AS289">
        <f>HYPERLINK("https://creighton-primo.hosted.exlibrisgroup.com/primo-explore/search?tab=default_tab&amp;search_scope=EVERYTHING&amp;vid=01CRU&amp;lang=en_US&amp;offset=0&amp;query=any,contains,991001058679702656","Catalog Record")</f>
        <v/>
      </c>
      <c r="AT289">
        <f>HYPERLINK("http://www.worldcat.org/oclc/34282524","WorldCat Record")</f>
        <v/>
      </c>
      <c r="AU289" t="inlineStr">
        <is>
          <t>20690233:eng</t>
        </is>
      </c>
      <c r="AV289" t="inlineStr">
        <is>
          <t>34282524</t>
        </is>
      </c>
      <c r="AW289" t="inlineStr">
        <is>
          <t>991001058679702656</t>
        </is>
      </c>
      <c r="AX289" t="inlineStr">
        <is>
          <t>991001058679702656</t>
        </is>
      </c>
      <c r="AY289" t="inlineStr">
        <is>
          <t>22101749310002656</t>
        </is>
      </c>
      <c r="AZ289" t="inlineStr">
        <is>
          <t>BOOK</t>
        </is>
      </c>
      <c r="BB289" t="inlineStr">
        <is>
          <t>9780195079807</t>
        </is>
      </c>
      <c r="BC289" t="inlineStr">
        <is>
          <t>30001003588797</t>
        </is>
      </c>
      <c r="BD289" t="inlineStr">
        <is>
          <t>893637967</t>
        </is>
      </c>
    </row>
    <row r="290">
      <c r="A290" t="inlineStr">
        <is>
          <t>No</t>
        </is>
      </c>
      <c r="B290" t="inlineStr">
        <is>
          <t>QU 93 I61p 1989</t>
        </is>
      </c>
      <c r="C290" t="inlineStr">
        <is>
          <t>0                      QU 0093000I  61p         1989</t>
        </is>
      </c>
      <c r="D290" t="inlineStr">
        <is>
          <t>Phospholipids : biochemical, pharmaceutical, and analytical considerations / edited by Israel Hanin and Giancarlo Pepeu.</t>
        </is>
      </c>
      <c r="F290" t="inlineStr">
        <is>
          <t>No</t>
        </is>
      </c>
      <c r="G290" t="inlineStr">
        <is>
          <t>1</t>
        </is>
      </c>
      <c r="H290" t="inlineStr">
        <is>
          <t>No</t>
        </is>
      </c>
      <c r="I290" t="inlineStr">
        <is>
          <t>No</t>
        </is>
      </c>
      <c r="J290" t="inlineStr">
        <is>
          <t>0</t>
        </is>
      </c>
      <c r="K290" t="inlineStr">
        <is>
          <t>International Colloquium on Lecithin (5th : 1989 : Cannes, France)</t>
        </is>
      </c>
      <c r="L290" t="inlineStr">
        <is>
          <t>New York : Plenum Press, c1991.</t>
        </is>
      </c>
      <c r="M290" t="inlineStr">
        <is>
          <t>1991</t>
        </is>
      </c>
      <c r="O290" t="inlineStr">
        <is>
          <t>eng</t>
        </is>
      </c>
      <c r="P290" t="inlineStr">
        <is>
          <t>nyu</t>
        </is>
      </c>
      <c r="R290" t="inlineStr">
        <is>
          <t xml:space="preserve">QU </t>
        </is>
      </c>
      <c r="S290" t="n">
        <v>7</v>
      </c>
      <c r="T290" t="n">
        <v>7</v>
      </c>
      <c r="U290" t="inlineStr">
        <is>
          <t>1993-08-31</t>
        </is>
      </c>
      <c r="V290" t="inlineStr">
        <is>
          <t>1993-08-31</t>
        </is>
      </c>
      <c r="W290" t="inlineStr">
        <is>
          <t>1991-03-28</t>
        </is>
      </c>
      <c r="X290" t="inlineStr">
        <is>
          <t>1991-03-28</t>
        </is>
      </c>
      <c r="Y290" t="n">
        <v>93</v>
      </c>
      <c r="Z290" t="n">
        <v>74</v>
      </c>
      <c r="AA290" t="n">
        <v>103</v>
      </c>
      <c r="AB290" t="n">
        <v>2</v>
      </c>
      <c r="AC290" t="n">
        <v>2</v>
      </c>
      <c r="AD290" t="n">
        <v>1</v>
      </c>
      <c r="AE290" t="n">
        <v>2</v>
      </c>
      <c r="AF290" t="n">
        <v>0</v>
      </c>
      <c r="AG290" t="n">
        <v>1</v>
      </c>
      <c r="AH290" t="n">
        <v>0</v>
      </c>
      <c r="AI290" t="n">
        <v>0</v>
      </c>
      <c r="AJ290" t="n">
        <v>0</v>
      </c>
      <c r="AK290" t="n">
        <v>1</v>
      </c>
      <c r="AL290" t="n">
        <v>1</v>
      </c>
      <c r="AM290" t="n">
        <v>1</v>
      </c>
      <c r="AN290" t="n">
        <v>0</v>
      </c>
      <c r="AO290" t="n">
        <v>0</v>
      </c>
      <c r="AP290" t="inlineStr">
        <is>
          <t>No</t>
        </is>
      </c>
      <c r="AQ290" t="inlineStr">
        <is>
          <t>Yes</t>
        </is>
      </c>
      <c r="AR290">
        <f>HYPERLINK("http://catalog.hathitrust.org/Record/002461189","HathiTrust Record")</f>
        <v/>
      </c>
      <c r="AS290">
        <f>HYPERLINK("https://creighton-primo.hosted.exlibrisgroup.com/primo-explore/search?tab=default_tab&amp;search_scope=EVERYTHING&amp;vid=01CRU&amp;lang=en_US&amp;offset=0&amp;query=any,contains,991000827289702656","Catalog Record")</f>
        <v/>
      </c>
      <c r="AT290">
        <f>HYPERLINK("http://www.worldcat.org/oclc/22452089","WorldCat Record")</f>
        <v/>
      </c>
      <c r="AU290" t="inlineStr">
        <is>
          <t>20702141:eng</t>
        </is>
      </c>
      <c r="AV290" t="inlineStr">
        <is>
          <t>22452089</t>
        </is>
      </c>
      <c r="AW290" t="inlineStr">
        <is>
          <t>991000827289702656</t>
        </is>
      </c>
      <c r="AX290" t="inlineStr">
        <is>
          <t>991000827289702656</t>
        </is>
      </c>
      <c r="AY290" t="inlineStr">
        <is>
          <t>2260392480002656</t>
        </is>
      </c>
      <c r="AZ290" t="inlineStr">
        <is>
          <t>BOOK</t>
        </is>
      </c>
      <c r="BB290" t="inlineStr">
        <is>
          <t>9780306436987</t>
        </is>
      </c>
      <c r="BC290" t="inlineStr">
        <is>
          <t>30001002089391</t>
        </is>
      </c>
      <c r="BD290" t="inlineStr">
        <is>
          <t>893283851</t>
        </is>
      </c>
    </row>
    <row r="291">
      <c r="A291" t="inlineStr">
        <is>
          <t>No</t>
        </is>
      </c>
      <c r="B291" t="inlineStr">
        <is>
          <t>QU 93 P575 1985 v.1-2</t>
        </is>
      </c>
      <c r="C291" t="inlineStr">
        <is>
          <t>0                      QU 0093000P  575         1985                                        v.1-2</t>
        </is>
      </c>
      <c r="D291" t="inlineStr">
        <is>
          <t>Phospholipids and cellular regulation / editor, J.F. Kuo.</t>
        </is>
      </c>
      <c r="E291" t="inlineStr">
        <is>
          <t>V. 2</t>
        </is>
      </c>
      <c r="F291" t="inlineStr">
        <is>
          <t>Yes</t>
        </is>
      </c>
      <c r="G291" t="inlineStr">
        <is>
          <t>1</t>
        </is>
      </c>
      <c r="H291" t="inlineStr">
        <is>
          <t>No</t>
        </is>
      </c>
      <c r="I291" t="inlineStr">
        <is>
          <t>No</t>
        </is>
      </c>
      <c r="J291" t="inlineStr">
        <is>
          <t>0</t>
        </is>
      </c>
      <c r="L291" t="inlineStr">
        <is>
          <t>Boca Raton, Fla. : CRC Press, c1985.</t>
        </is>
      </c>
      <c r="M291" t="inlineStr">
        <is>
          <t>1985</t>
        </is>
      </c>
      <c r="O291" t="inlineStr">
        <is>
          <t>eng</t>
        </is>
      </c>
      <c r="P291" t="inlineStr">
        <is>
          <t>flu</t>
        </is>
      </c>
      <c r="R291" t="inlineStr">
        <is>
          <t xml:space="preserve">QU </t>
        </is>
      </c>
      <c r="S291" t="n">
        <v>2</v>
      </c>
      <c r="T291" t="n">
        <v>5</v>
      </c>
      <c r="U291" t="inlineStr">
        <is>
          <t>1990-03-07</t>
        </is>
      </c>
      <c r="V291" t="inlineStr">
        <is>
          <t>1993-09-15</t>
        </is>
      </c>
      <c r="W291" t="inlineStr">
        <is>
          <t>1988-01-28</t>
        </is>
      </c>
      <c r="X291" t="inlineStr">
        <is>
          <t>1988-01-28</t>
        </is>
      </c>
      <c r="Y291" t="n">
        <v>248</v>
      </c>
      <c r="Z291" t="n">
        <v>199</v>
      </c>
      <c r="AA291" t="n">
        <v>202</v>
      </c>
      <c r="AB291" t="n">
        <v>2</v>
      </c>
      <c r="AC291" t="n">
        <v>2</v>
      </c>
      <c r="AD291" t="n">
        <v>5</v>
      </c>
      <c r="AE291" t="n">
        <v>5</v>
      </c>
      <c r="AF291" t="n">
        <v>1</v>
      </c>
      <c r="AG291" t="n">
        <v>1</v>
      </c>
      <c r="AH291" t="n">
        <v>2</v>
      </c>
      <c r="AI291" t="n">
        <v>2</v>
      </c>
      <c r="AJ291" t="n">
        <v>3</v>
      </c>
      <c r="AK291" t="n">
        <v>3</v>
      </c>
      <c r="AL291" t="n">
        <v>1</v>
      </c>
      <c r="AM291" t="n">
        <v>1</v>
      </c>
      <c r="AN291" t="n">
        <v>0</v>
      </c>
      <c r="AO291" t="n">
        <v>0</v>
      </c>
      <c r="AP291" t="inlineStr">
        <is>
          <t>No</t>
        </is>
      </c>
      <c r="AQ291" t="inlineStr">
        <is>
          <t>Yes</t>
        </is>
      </c>
      <c r="AR291">
        <f>HYPERLINK("http://catalog.hathitrust.org/Record/000352820","HathiTrust Record")</f>
        <v/>
      </c>
      <c r="AS291">
        <f>HYPERLINK("https://creighton-primo.hosted.exlibrisgroup.com/primo-explore/search?tab=default_tab&amp;search_scope=EVERYTHING&amp;vid=01CRU&amp;lang=en_US&amp;offset=0&amp;query=any,contains,991000899869702656","Catalog Record")</f>
        <v/>
      </c>
      <c r="AT291">
        <f>HYPERLINK("http://www.worldcat.org/oclc/11550121","WorldCat Record")</f>
        <v/>
      </c>
      <c r="AU291" t="inlineStr">
        <is>
          <t>4757610588:eng</t>
        </is>
      </c>
      <c r="AV291" t="inlineStr">
        <is>
          <t>11550121</t>
        </is>
      </c>
      <c r="AW291" t="inlineStr">
        <is>
          <t>991000899869702656</t>
        </is>
      </c>
      <c r="AX291" t="inlineStr">
        <is>
          <t>991000899869702656</t>
        </is>
      </c>
      <c r="AY291" t="inlineStr">
        <is>
          <t>2260084130002656</t>
        </is>
      </c>
      <c r="AZ291" t="inlineStr">
        <is>
          <t>BOOK</t>
        </is>
      </c>
      <c r="BB291" t="inlineStr">
        <is>
          <t>9780849355370</t>
        </is>
      </c>
      <c r="BC291" t="inlineStr">
        <is>
          <t>30001000159824</t>
        </is>
      </c>
      <c r="BD291" t="inlineStr">
        <is>
          <t>893632433</t>
        </is>
      </c>
    </row>
    <row r="292">
      <c r="A292" t="inlineStr">
        <is>
          <t>No</t>
        </is>
      </c>
      <c r="B292" t="inlineStr">
        <is>
          <t>QU 93 P575 1985 v.1-2</t>
        </is>
      </c>
      <c r="C292" t="inlineStr">
        <is>
          <t>0                      QU 0093000P  575         1985                                        v.1-2</t>
        </is>
      </c>
      <c r="D292" t="inlineStr">
        <is>
          <t>Phospholipids and cellular regulation / editor, J.F. Kuo.</t>
        </is>
      </c>
      <c r="E292" t="inlineStr">
        <is>
          <t>V. 1</t>
        </is>
      </c>
      <c r="F292" t="inlineStr">
        <is>
          <t>Yes</t>
        </is>
      </c>
      <c r="G292" t="inlineStr">
        <is>
          <t>1</t>
        </is>
      </c>
      <c r="H292" t="inlineStr">
        <is>
          <t>No</t>
        </is>
      </c>
      <c r="I292" t="inlineStr">
        <is>
          <t>No</t>
        </is>
      </c>
      <c r="J292" t="inlineStr">
        <is>
          <t>0</t>
        </is>
      </c>
      <c r="L292" t="inlineStr">
        <is>
          <t>Boca Raton, Fla. : CRC Press, c1985.</t>
        </is>
      </c>
      <c r="M292" t="inlineStr">
        <is>
          <t>1985</t>
        </is>
      </c>
      <c r="O292" t="inlineStr">
        <is>
          <t>eng</t>
        </is>
      </c>
      <c r="P292" t="inlineStr">
        <is>
          <t>flu</t>
        </is>
      </c>
      <c r="R292" t="inlineStr">
        <is>
          <t xml:space="preserve">QU </t>
        </is>
      </c>
      <c r="S292" t="n">
        <v>3</v>
      </c>
      <c r="T292" t="n">
        <v>5</v>
      </c>
      <c r="U292" t="inlineStr">
        <is>
          <t>1993-09-15</t>
        </is>
      </c>
      <c r="V292" t="inlineStr">
        <is>
          <t>1993-09-15</t>
        </is>
      </c>
      <c r="W292" t="inlineStr">
        <is>
          <t>1988-01-28</t>
        </is>
      </c>
      <c r="X292" t="inlineStr">
        <is>
          <t>1988-01-28</t>
        </is>
      </c>
      <c r="Y292" t="n">
        <v>248</v>
      </c>
      <c r="Z292" t="n">
        <v>199</v>
      </c>
      <c r="AA292" t="n">
        <v>202</v>
      </c>
      <c r="AB292" t="n">
        <v>2</v>
      </c>
      <c r="AC292" t="n">
        <v>2</v>
      </c>
      <c r="AD292" t="n">
        <v>5</v>
      </c>
      <c r="AE292" t="n">
        <v>5</v>
      </c>
      <c r="AF292" t="n">
        <v>1</v>
      </c>
      <c r="AG292" t="n">
        <v>1</v>
      </c>
      <c r="AH292" t="n">
        <v>2</v>
      </c>
      <c r="AI292" t="n">
        <v>2</v>
      </c>
      <c r="AJ292" t="n">
        <v>3</v>
      </c>
      <c r="AK292" t="n">
        <v>3</v>
      </c>
      <c r="AL292" t="n">
        <v>1</v>
      </c>
      <c r="AM292" t="n">
        <v>1</v>
      </c>
      <c r="AN292" t="n">
        <v>0</v>
      </c>
      <c r="AO292" t="n">
        <v>0</v>
      </c>
      <c r="AP292" t="inlineStr">
        <is>
          <t>No</t>
        </is>
      </c>
      <c r="AQ292" t="inlineStr">
        <is>
          <t>Yes</t>
        </is>
      </c>
      <c r="AR292">
        <f>HYPERLINK("http://catalog.hathitrust.org/Record/000352820","HathiTrust Record")</f>
        <v/>
      </c>
      <c r="AS292">
        <f>HYPERLINK("https://creighton-primo.hosted.exlibrisgroup.com/primo-explore/search?tab=default_tab&amp;search_scope=EVERYTHING&amp;vid=01CRU&amp;lang=en_US&amp;offset=0&amp;query=any,contains,991000899869702656","Catalog Record")</f>
        <v/>
      </c>
      <c r="AT292">
        <f>HYPERLINK("http://www.worldcat.org/oclc/11550121","WorldCat Record")</f>
        <v/>
      </c>
      <c r="AU292" t="inlineStr">
        <is>
          <t>4757610588:eng</t>
        </is>
      </c>
      <c r="AV292" t="inlineStr">
        <is>
          <t>11550121</t>
        </is>
      </c>
      <c r="AW292" t="inlineStr">
        <is>
          <t>991000899869702656</t>
        </is>
      </c>
      <c r="AX292" t="inlineStr">
        <is>
          <t>991000899869702656</t>
        </is>
      </c>
      <c r="AY292" t="inlineStr">
        <is>
          <t>2260084130002656</t>
        </is>
      </c>
      <c r="AZ292" t="inlineStr">
        <is>
          <t>BOOK</t>
        </is>
      </c>
      <c r="BB292" t="inlineStr">
        <is>
          <t>9780849355370</t>
        </is>
      </c>
      <c r="BC292" t="inlineStr">
        <is>
          <t>30001000159816</t>
        </is>
      </c>
      <c r="BD292" t="inlineStr">
        <is>
          <t>893632432</t>
        </is>
      </c>
    </row>
    <row r="293">
      <c r="A293" t="inlineStr">
        <is>
          <t>No</t>
        </is>
      </c>
      <c r="B293" t="inlineStr">
        <is>
          <t>QU 93 P5756515 1991</t>
        </is>
      </c>
      <c r="C293" t="inlineStr">
        <is>
          <t>0                      QU 0093000P  5756515     1991</t>
        </is>
      </c>
      <c r="D293" t="inlineStr">
        <is>
          <t>Phospholipids and signal transmission / edited by Raphaël Massarelli ... [et al.].</t>
        </is>
      </c>
      <c r="F293" t="inlineStr">
        <is>
          <t>No</t>
        </is>
      </c>
      <c r="G293" t="inlineStr">
        <is>
          <t>1</t>
        </is>
      </c>
      <c r="H293" t="inlineStr">
        <is>
          <t>No</t>
        </is>
      </c>
      <c r="I293" t="inlineStr">
        <is>
          <t>No</t>
        </is>
      </c>
      <c r="J293" t="inlineStr">
        <is>
          <t>0</t>
        </is>
      </c>
      <c r="L293" t="inlineStr">
        <is>
          <t>Berlin ; New York : Springer-Verlag, c1993.</t>
        </is>
      </c>
      <c r="M293" t="inlineStr">
        <is>
          <t>1993</t>
        </is>
      </c>
      <c r="O293" t="inlineStr">
        <is>
          <t>eng</t>
        </is>
      </c>
      <c r="P293" t="inlineStr">
        <is>
          <t xml:space="preserve">gw </t>
        </is>
      </c>
      <c r="Q293" t="inlineStr">
        <is>
          <t>NATO ASI series. Series H, Cell biology ; vol. 70</t>
        </is>
      </c>
      <c r="R293" t="inlineStr">
        <is>
          <t xml:space="preserve">QU </t>
        </is>
      </c>
      <c r="S293" t="n">
        <v>7</v>
      </c>
      <c r="T293" t="n">
        <v>7</v>
      </c>
      <c r="U293" t="inlineStr">
        <is>
          <t>1995-05-18</t>
        </is>
      </c>
      <c r="V293" t="inlineStr">
        <is>
          <t>1995-05-18</t>
        </is>
      </c>
      <c r="W293" t="inlineStr">
        <is>
          <t>1994-05-10</t>
        </is>
      </c>
      <c r="X293" t="inlineStr">
        <is>
          <t>1994-05-10</t>
        </is>
      </c>
      <c r="Y293" t="n">
        <v>91</v>
      </c>
      <c r="Z293" t="n">
        <v>57</v>
      </c>
      <c r="AA293" t="n">
        <v>80</v>
      </c>
      <c r="AB293" t="n">
        <v>1</v>
      </c>
      <c r="AC293" t="n">
        <v>1</v>
      </c>
      <c r="AD293" t="n">
        <v>0</v>
      </c>
      <c r="AE293" t="n">
        <v>0</v>
      </c>
      <c r="AF293" t="n">
        <v>0</v>
      </c>
      <c r="AG293" t="n">
        <v>0</v>
      </c>
      <c r="AH293" t="n">
        <v>0</v>
      </c>
      <c r="AI293" t="n">
        <v>0</v>
      </c>
      <c r="AJ293" t="n">
        <v>0</v>
      </c>
      <c r="AK293" t="n">
        <v>0</v>
      </c>
      <c r="AL293" t="n">
        <v>0</v>
      </c>
      <c r="AM293" t="n">
        <v>0</v>
      </c>
      <c r="AN293" t="n">
        <v>0</v>
      </c>
      <c r="AO293" t="n">
        <v>0</v>
      </c>
      <c r="AP293" t="inlineStr">
        <is>
          <t>No</t>
        </is>
      </c>
      <c r="AQ293" t="inlineStr">
        <is>
          <t>Yes</t>
        </is>
      </c>
      <c r="AR293">
        <f>HYPERLINK("http://catalog.hathitrust.org/Record/002728140","HathiTrust Record")</f>
        <v/>
      </c>
      <c r="AS293">
        <f>HYPERLINK("https://creighton-primo.hosted.exlibrisgroup.com/primo-explore/search?tab=default_tab&amp;search_scope=EVERYTHING&amp;vid=01CRU&amp;lang=en_US&amp;offset=0&amp;query=any,contains,991001196129702656","Catalog Record")</f>
        <v/>
      </c>
      <c r="AT293">
        <f>HYPERLINK("http://www.worldcat.org/oclc/27770882","WorldCat Record")</f>
        <v/>
      </c>
      <c r="AU293" t="inlineStr">
        <is>
          <t>364408325:eng</t>
        </is>
      </c>
      <c r="AV293" t="inlineStr">
        <is>
          <t>27770882</t>
        </is>
      </c>
      <c r="AW293" t="inlineStr">
        <is>
          <t>991001196129702656</t>
        </is>
      </c>
      <c r="AX293" t="inlineStr">
        <is>
          <t>991001196129702656</t>
        </is>
      </c>
      <c r="AY293" t="inlineStr">
        <is>
          <t>2260699820002656</t>
        </is>
      </c>
      <c r="AZ293" t="inlineStr">
        <is>
          <t>BOOK</t>
        </is>
      </c>
      <c r="BB293" t="inlineStr">
        <is>
          <t>9780387546100</t>
        </is>
      </c>
      <c r="BC293" t="inlineStr">
        <is>
          <t>30001002984617</t>
        </is>
      </c>
      <c r="BD293" t="inlineStr">
        <is>
          <t>893557684</t>
        </is>
      </c>
    </row>
    <row r="294">
      <c r="A294" t="inlineStr">
        <is>
          <t>No</t>
        </is>
      </c>
      <c r="B294" t="inlineStr">
        <is>
          <t>QU 93 P715 1989</t>
        </is>
      </c>
      <c r="C294" t="inlineStr">
        <is>
          <t>0                      QU 0093000P  715         1989</t>
        </is>
      </c>
      <c r="D294" t="inlineStr">
        <is>
          <t>Platelet activating factor and human disease / edited by Peter J. Barnes, Clive P. Page, Peter M. Henson.</t>
        </is>
      </c>
      <c r="F294" t="inlineStr">
        <is>
          <t>No</t>
        </is>
      </c>
      <c r="G294" t="inlineStr">
        <is>
          <t>1</t>
        </is>
      </c>
      <c r="H294" t="inlineStr">
        <is>
          <t>No</t>
        </is>
      </c>
      <c r="I294" t="inlineStr">
        <is>
          <t>No</t>
        </is>
      </c>
      <c r="J294" t="inlineStr">
        <is>
          <t>0</t>
        </is>
      </c>
      <c r="L294" t="inlineStr">
        <is>
          <t>Oxford ; Boston : Blackwell Scientific Publications ; Chicago, Ill. : Distributors, USA, Year Book Medical Publishers, c1989.</t>
        </is>
      </c>
      <c r="M294" t="inlineStr">
        <is>
          <t>1989</t>
        </is>
      </c>
      <c r="O294" t="inlineStr">
        <is>
          <t>eng</t>
        </is>
      </c>
      <c r="P294" t="inlineStr">
        <is>
          <t>enk</t>
        </is>
      </c>
      <c r="Q294" t="inlineStr">
        <is>
          <t>Frontiers in pharmacology &amp; therapeutics</t>
        </is>
      </c>
      <c r="R294" t="inlineStr">
        <is>
          <t xml:space="preserve">QU </t>
        </is>
      </c>
      <c r="S294" t="n">
        <v>4</v>
      </c>
      <c r="T294" t="n">
        <v>4</v>
      </c>
      <c r="U294" t="inlineStr">
        <is>
          <t>1996-03-12</t>
        </is>
      </c>
      <c r="V294" t="inlineStr">
        <is>
          <t>1996-03-12</t>
        </is>
      </c>
      <c r="W294" t="inlineStr">
        <is>
          <t>1993-11-19</t>
        </is>
      </c>
      <c r="X294" t="inlineStr">
        <is>
          <t>1993-11-19</t>
        </is>
      </c>
      <c r="Y294" t="n">
        <v>86</v>
      </c>
      <c r="Z294" t="n">
        <v>51</v>
      </c>
      <c r="AA294" t="n">
        <v>51</v>
      </c>
      <c r="AB294" t="n">
        <v>1</v>
      </c>
      <c r="AC294" t="n">
        <v>1</v>
      </c>
      <c r="AD294" t="n">
        <v>1</v>
      </c>
      <c r="AE294" t="n">
        <v>1</v>
      </c>
      <c r="AF294" t="n">
        <v>0</v>
      </c>
      <c r="AG294" t="n">
        <v>0</v>
      </c>
      <c r="AH294" t="n">
        <v>1</v>
      </c>
      <c r="AI294" t="n">
        <v>1</v>
      </c>
      <c r="AJ294" t="n">
        <v>0</v>
      </c>
      <c r="AK294" t="n">
        <v>0</v>
      </c>
      <c r="AL294" t="n">
        <v>0</v>
      </c>
      <c r="AM294" t="n">
        <v>0</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HYPERLINK("https://creighton-primo.hosted.exlibrisgroup.com/primo-explore/search?tab=default_tab&amp;search_scope=EVERYTHING&amp;vid=01CRU&amp;lang=en_US&amp;offset=0&amp;query=any,contains,991000560659702656","Catalog Record")</f>
        <v/>
      </c>
      <c r="AT294">
        <f>HYPERLINK("http://www.worldcat.org/oclc/21669044","WorldCat Record")</f>
        <v/>
      </c>
      <c r="AU294" t="inlineStr">
        <is>
          <t>354263651:eng</t>
        </is>
      </c>
      <c r="AV294" t="inlineStr">
        <is>
          <t>21669044</t>
        </is>
      </c>
      <c r="AW294" t="inlineStr">
        <is>
          <t>991000560659702656</t>
        </is>
      </c>
      <c r="AX294" t="inlineStr">
        <is>
          <t>991000560659702656</t>
        </is>
      </c>
      <c r="AY294" t="inlineStr">
        <is>
          <t>2265499110002656</t>
        </is>
      </c>
      <c r="AZ294" t="inlineStr">
        <is>
          <t>BOOK</t>
        </is>
      </c>
      <c r="BB294" t="inlineStr">
        <is>
          <t>9780632026845</t>
        </is>
      </c>
      <c r="BC294" t="inlineStr">
        <is>
          <t>30001002672501</t>
        </is>
      </c>
      <c r="BD294" t="inlineStr">
        <is>
          <t>893463576</t>
        </is>
      </c>
    </row>
    <row r="295">
      <c r="A295" t="inlineStr">
        <is>
          <t>No</t>
        </is>
      </c>
      <c r="B295" t="inlineStr">
        <is>
          <t>QU 93 P945L 1992</t>
        </is>
      </c>
      <c r="C295" t="inlineStr">
        <is>
          <t>0                      QU 0093000P  945L        1992</t>
        </is>
      </c>
      <c r="D295" t="inlineStr">
        <is>
          <t>Local liposome drug delivery : an overlooked application / Carl I. Price, Jureta Horton.</t>
        </is>
      </c>
      <c r="F295" t="inlineStr">
        <is>
          <t>No</t>
        </is>
      </c>
      <c r="G295" t="inlineStr">
        <is>
          <t>1</t>
        </is>
      </c>
      <c r="H295" t="inlineStr">
        <is>
          <t>No</t>
        </is>
      </c>
      <c r="I295" t="inlineStr">
        <is>
          <t>No</t>
        </is>
      </c>
      <c r="J295" t="inlineStr">
        <is>
          <t>0</t>
        </is>
      </c>
      <c r="K295" t="inlineStr">
        <is>
          <t>Price, Carl I.</t>
        </is>
      </c>
      <c r="L295" t="inlineStr">
        <is>
          <t>Austin : R.G. Landes, c1992.</t>
        </is>
      </c>
      <c r="M295" t="inlineStr">
        <is>
          <t>1992</t>
        </is>
      </c>
      <c r="O295" t="inlineStr">
        <is>
          <t>eng</t>
        </is>
      </c>
      <c r="P295" t="inlineStr">
        <is>
          <t>xxu</t>
        </is>
      </c>
      <c r="Q295" t="inlineStr">
        <is>
          <t>Medical intelligence unit</t>
        </is>
      </c>
      <c r="R295" t="inlineStr">
        <is>
          <t xml:space="preserve">QU </t>
        </is>
      </c>
      <c r="S295" t="n">
        <v>2</v>
      </c>
      <c r="T295" t="n">
        <v>2</v>
      </c>
      <c r="U295" t="inlineStr">
        <is>
          <t>1993-09-03</t>
        </is>
      </c>
      <c r="V295" t="inlineStr">
        <is>
          <t>1993-09-03</t>
        </is>
      </c>
      <c r="W295" t="inlineStr">
        <is>
          <t>1993-08-31</t>
        </is>
      </c>
      <c r="X295" t="inlineStr">
        <is>
          <t>1993-08-31</t>
        </is>
      </c>
      <c r="Y295" t="n">
        <v>68</v>
      </c>
      <c r="Z295" t="n">
        <v>49</v>
      </c>
      <c r="AA295" t="n">
        <v>56</v>
      </c>
      <c r="AB295" t="n">
        <v>2</v>
      </c>
      <c r="AC295" t="n">
        <v>2</v>
      </c>
      <c r="AD295" t="n">
        <v>2</v>
      </c>
      <c r="AE295" t="n">
        <v>2</v>
      </c>
      <c r="AF295" t="n">
        <v>1</v>
      </c>
      <c r="AG295" t="n">
        <v>1</v>
      </c>
      <c r="AH295" t="n">
        <v>1</v>
      </c>
      <c r="AI295" t="n">
        <v>1</v>
      </c>
      <c r="AJ295" t="n">
        <v>0</v>
      </c>
      <c r="AK295" t="n">
        <v>0</v>
      </c>
      <c r="AL295" t="n">
        <v>1</v>
      </c>
      <c r="AM295" t="n">
        <v>1</v>
      </c>
      <c r="AN295" t="n">
        <v>0</v>
      </c>
      <c r="AO295" t="n">
        <v>0</v>
      </c>
      <c r="AP295" t="inlineStr">
        <is>
          <t>No</t>
        </is>
      </c>
      <c r="AQ295" t="inlineStr">
        <is>
          <t>Yes</t>
        </is>
      </c>
      <c r="AR295">
        <f>HYPERLINK("http://catalog.hathitrust.org/Record/002612565","HathiTrust Record")</f>
        <v/>
      </c>
      <c r="AS295">
        <f>HYPERLINK("https://creighton-primo.hosted.exlibrisgroup.com/primo-explore/search?tab=default_tab&amp;search_scope=EVERYTHING&amp;vid=01CRU&amp;lang=en_US&amp;offset=0&amp;query=any,contains,991001512159702656","Catalog Record")</f>
        <v/>
      </c>
      <c r="AT295">
        <f>HYPERLINK("http://www.worldcat.org/oclc/28587386","WorldCat Record")</f>
        <v/>
      </c>
      <c r="AU295" t="inlineStr">
        <is>
          <t>392557:eng</t>
        </is>
      </c>
      <c r="AV295" t="inlineStr">
        <is>
          <t>28587386</t>
        </is>
      </c>
      <c r="AW295" t="inlineStr">
        <is>
          <t>991001512159702656</t>
        </is>
      </c>
      <c r="AX295" t="inlineStr">
        <is>
          <t>991001512159702656</t>
        </is>
      </c>
      <c r="AY295" t="inlineStr">
        <is>
          <t>2263177630002656</t>
        </is>
      </c>
      <c r="AZ295" t="inlineStr">
        <is>
          <t>BOOK</t>
        </is>
      </c>
      <c r="BB295" t="inlineStr">
        <is>
          <t>9781879702127</t>
        </is>
      </c>
      <c r="BC295" t="inlineStr">
        <is>
          <t>30001002601013</t>
        </is>
      </c>
      <c r="BD295" t="inlineStr">
        <is>
          <t>893558054</t>
        </is>
      </c>
    </row>
    <row r="296">
      <c r="A296" t="inlineStr">
        <is>
          <t>No</t>
        </is>
      </c>
      <c r="B296" t="inlineStr">
        <is>
          <t>QU 95 B615 1988</t>
        </is>
      </c>
      <c r="C296" t="inlineStr">
        <is>
          <t>0                      QU 0095000B  615         1988</t>
        </is>
      </c>
      <c r="D296" t="inlineStr">
        <is>
          <t>Biology of cholesterol / editor, Philip L. Yeagle.</t>
        </is>
      </c>
      <c r="F296" t="inlineStr">
        <is>
          <t>No</t>
        </is>
      </c>
      <c r="G296" t="inlineStr">
        <is>
          <t>1</t>
        </is>
      </c>
      <c r="H296" t="inlineStr">
        <is>
          <t>No</t>
        </is>
      </c>
      <c r="I296" t="inlineStr">
        <is>
          <t>No</t>
        </is>
      </c>
      <c r="J296" t="inlineStr">
        <is>
          <t>0</t>
        </is>
      </c>
      <c r="L296" t="inlineStr">
        <is>
          <t>Boca Raton, Fla. : CRC Press, c1988.</t>
        </is>
      </c>
      <c r="M296" t="inlineStr">
        <is>
          <t>1988</t>
        </is>
      </c>
      <c r="O296" t="inlineStr">
        <is>
          <t>eng</t>
        </is>
      </c>
      <c r="P296" t="inlineStr">
        <is>
          <t>xxu</t>
        </is>
      </c>
      <c r="R296" t="inlineStr">
        <is>
          <t xml:space="preserve">QU </t>
        </is>
      </c>
      <c r="S296" t="n">
        <v>18</v>
      </c>
      <c r="T296" t="n">
        <v>18</v>
      </c>
      <c r="U296" t="inlineStr">
        <is>
          <t>1999-10-03</t>
        </is>
      </c>
      <c r="V296" t="inlineStr">
        <is>
          <t>1999-10-03</t>
        </is>
      </c>
      <c r="W296" t="inlineStr">
        <is>
          <t>1989-01-12</t>
        </is>
      </c>
      <c r="X296" t="inlineStr">
        <is>
          <t>1989-01-12</t>
        </is>
      </c>
      <c r="Y296" t="n">
        <v>198</v>
      </c>
      <c r="Z296" t="n">
        <v>151</v>
      </c>
      <c r="AA296" t="n">
        <v>153</v>
      </c>
      <c r="AB296" t="n">
        <v>1</v>
      </c>
      <c r="AC296" t="n">
        <v>1</v>
      </c>
      <c r="AD296" t="n">
        <v>9</v>
      </c>
      <c r="AE296" t="n">
        <v>9</v>
      </c>
      <c r="AF296" t="n">
        <v>3</v>
      </c>
      <c r="AG296" t="n">
        <v>3</v>
      </c>
      <c r="AH296" t="n">
        <v>3</v>
      </c>
      <c r="AI296" t="n">
        <v>3</v>
      </c>
      <c r="AJ296" t="n">
        <v>6</v>
      </c>
      <c r="AK296" t="n">
        <v>6</v>
      </c>
      <c r="AL296" t="n">
        <v>0</v>
      </c>
      <c r="AM296" t="n">
        <v>0</v>
      </c>
      <c r="AN296" t="n">
        <v>0</v>
      </c>
      <c r="AO296" t="n">
        <v>0</v>
      </c>
      <c r="AP296" t="inlineStr">
        <is>
          <t>No</t>
        </is>
      </c>
      <c r="AQ296" t="inlineStr">
        <is>
          <t>Yes</t>
        </is>
      </c>
      <c r="AR296">
        <f>HYPERLINK("http://catalog.hathitrust.org/Record/002627220","HathiTrust Record")</f>
        <v/>
      </c>
      <c r="AS296">
        <f>HYPERLINK("https://creighton-primo.hosted.exlibrisgroup.com/primo-explore/search?tab=default_tab&amp;search_scope=EVERYTHING&amp;vid=01CRU&amp;lang=en_US&amp;offset=0&amp;query=any,contains,991001110189702656","Catalog Record")</f>
        <v/>
      </c>
      <c r="AT296">
        <f>HYPERLINK("http://www.worldcat.org/oclc/16985774","WorldCat Record")</f>
        <v/>
      </c>
      <c r="AU296" t="inlineStr">
        <is>
          <t>138616276:eng</t>
        </is>
      </c>
      <c r="AV296" t="inlineStr">
        <is>
          <t>16985774</t>
        </is>
      </c>
      <c r="AW296" t="inlineStr">
        <is>
          <t>991001110189702656</t>
        </is>
      </c>
      <c r="AX296" t="inlineStr">
        <is>
          <t>991001110189702656</t>
        </is>
      </c>
      <c r="AY296" t="inlineStr">
        <is>
          <t>2269875470002656</t>
        </is>
      </c>
      <c r="AZ296" t="inlineStr">
        <is>
          <t>BOOK</t>
        </is>
      </c>
      <c r="BB296" t="inlineStr">
        <is>
          <t>9780849349775</t>
        </is>
      </c>
      <c r="BC296" t="inlineStr">
        <is>
          <t>30001001611872</t>
        </is>
      </c>
      <c r="BD296" t="inlineStr">
        <is>
          <t>893148874</t>
        </is>
      </c>
    </row>
    <row r="297">
      <c r="A297" t="inlineStr">
        <is>
          <t>No</t>
        </is>
      </c>
      <c r="B297" t="inlineStr">
        <is>
          <t>QU 95 C771c 1958</t>
        </is>
      </c>
      <c r="C297" t="inlineStr">
        <is>
          <t>0                      QU 0095000C  771c        1958</t>
        </is>
      </c>
      <c r="D297" t="inlineStr">
        <is>
          <t>Cholesterol : chemistry, biochemistry, and pathology.</t>
        </is>
      </c>
      <c r="F297" t="inlineStr">
        <is>
          <t>No</t>
        </is>
      </c>
      <c r="G297" t="inlineStr">
        <is>
          <t>1</t>
        </is>
      </c>
      <c r="H297" t="inlineStr">
        <is>
          <t>No</t>
        </is>
      </c>
      <c r="I297" t="inlineStr">
        <is>
          <t>No</t>
        </is>
      </c>
      <c r="J297" t="inlineStr">
        <is>
          <t>0</t>
        </is>
      </c>
      <c r="K297" t="inlineStr">
        <is>
          <t>Cook, Robert P., editor.</t>
        </is>
      </c>
      <c r="L297" t="inlineStr">
        <is>
          <t>New York, Academic Press, 1958.</t>
        </is>
      </c>
      <c r="M297" t="inlineStr">
        <is>
          <t>1958</t>
        </is>
      </c>
      <c r="O297" t="inlineStr">
        <is>
          <t>eng</t>
        </is>
      </c>
      <c r="P297" t="inlineStr">
        <is>
          <t>nyu</t>
        </is>
      </c>
      <c r="R297" t="inlineStr">
        <is>
          <t xml:space="preserve">QU </t>
        </is>
      </c>
      <c r="S297" t="n">
        <v>12</v>
      </c>
      <c r="T297" t="n">
        <v>12</v>
      </c>
      <c r="U297" t="inlineStr">
        <is>
          <t>1999-10-03</t>
        </is>
      </c>
      <c r="V297" t="inlineStr">
        <is>
          <t>1999-10-03</t>
        </is>
      </c>
      <c r="W297" t="inlineStr">
        <is>
          <t>1987-12-29</t>
        </is>
      </c>
      <c r="X297" t="inlineStr">
        <is>
          <t>1987-12-29</t>
        </is>
      </c>
      <c r="Y297" t="n">
        <v>289</v>
      </c>
      <c r="Z297" t="n">
        <v>201</v>
      </c>
      <c r="AA297" t="n">
        <v>244</v>
      </c>
      <c r="AB297" t="n">
        <v>2</v>
      </c>
      <c r="AC297" t="n">
        <v>3</v>
      </c>
      <c r="AD297" t="n">
        <v>7</v>
      </c>
      <c r="AE297" t="n">
        <v>10</v>
      </c>
      <c r="AF297" t="n">
        <v>1</v>
      </c>
      <c r="AG297" t="n">
        <v>2</v>
      </c>
      <c r="AH297" t="n">
        <v>4</v>
      </c>
      <c r="AI297" t="n">
        <v>5</v>
      </c>
      <c r="AJ297" t="n">
        <v>3</v>
      </c>
      <c r="AK297" t="n">
        <v>3</v>
      </c>
      <c r="AL297" t="n">
        <v>1</v>
      </c>
      <c r="AM297" t="n">
        <v>2</v>
      </c>
      <c r="AN297" t="n">
        <v>0</v>
      </c>
      <c r="AO297" t="n">
        <v>0</v>
      </c>
      <c r="AP297" t="inlineStr">
        <is>
          <t>No</t>
        </is>
      </c>
      <c r="AQ297" t="inlineStr">
        <is>
          <t>Yes</t>
        </is>
      </c>
      <c r="AR297">
        <f>HYPERLINK("http://catalog.hathitrust.org/Record/001555742","HathiTrust Record")</f>
        <v/>
      </c>
      <c r="AS297">
        <f>HYPERLINK("https://creighton-primo.hosted.exlibrisgroup.com/primo-explore/search?tab=default_tab&amp;search_scope=EVERYTHING&amp;vid=01CRU&amp;lang=en_US&amp;offset=0&amp;query=any,contains,991000899909702656","Catalog Record")</f>
        <v/>
      </c>
      <c r="AT297">
        <f>HYPERLINK("http://www.worldcat.org/oclc/560128","WorldCat Record")</f>
        <v/>
      </c>
      <c r="AU297" t="inlineStr">
        <is>
          <t>890351793:eng</t>
        </is>
      </c>
      <c r="AV297" t="inlineStr">
        <is>
          <t>560128</t>
        </is>
      </c>
      <c r="AW297" t="inlineStr">
        <is>
          <t>991000899909702656</t>
        </is>
      </c>
      <c r="AX297" t="inlineStr">
        <is>
          <t>991000899909702656</t>
        </is>
      </c>
      <c r="AY297" t="inlineStr">
        <is>
          <t>2256582780002656</t>
        </is>
      </c>
      <c r="AZ297" t="inlineStr">
        <is>
          <t>BOOK</t>
        </is>
      </c>
      <c r="BC297" t="inlineStr">
        <is>
          <t>30001000159840</t>
        </is>
      </c>
      <c r="BD297" t="inlineStr">
        <is>
          <t>893278423</t>
        </is>
      </c>
    </row>
    <row r="298">
      <c r="A298" t="inlineStr">
        <is>
          <t>No</t>
        </is>
      </c>
      <c r="B298" t="inlineStr">
        <is>
          <t>QU 95 N2778r 1990</t>
        </is>
      </c>
      <c r="C298" t="inlineStr">
        <is>
          <t>0                      QU 0095000N  2778r       1990</t>
        </is>
      </c>
      <c r="D298" t="inlineStr">
        <is>
          <t>Recommendations for improving cholesterol measurement : a report / from the Laboratory Standardization Panel of the National Cholesterol Education Program ; coordinated by the National Heart, Lung, and Blood Institute.</t>
        </is>
      </c>
      <c r="F298" t="inlineStr">
        <is>
          <t>No</t>
        </is>
      </c>
      <c r="G298" t="inlineStr">
        <is>
          <t>1</t>
        </is>
      </c>
      <c r="H298" t="inlineStr">
        <is>
          <t>No</t>
        </is>
      </c>
      <c r="I298" t="inlineStr">
        <is>
          <t>No</t>
        </is>
      </c>
      <c r="J298" t="inlineStr">
        <is>
          <t>0</t>
        </is>
      </c>
      <c r="K298" t="inlineStr">
        <is>
          <t>National Cholesterol Education Program (U.S.). Laboratory Standardization Panel.</t>
        </is>
      </c>
      <c r="L298" t="inlineStr">
        <is>
          <t>Bethesda, Md. : U.S. Dept. of Health and Human Services, Public Health Service, National Institutes of Health, 1990.</t>
        </is>
      </c>
      <c r="M298" t="inlineStr">
        <is>
          <t>1990</t>
        </is>
      </c>
      <c r="O298" t="inlineStr">
        <is>
          <t>eng</t>
        </is>
      </c>
      <c r="P298" t="inlineStr">
        <is>
          <t>xxu</t>
        </is>
      </c>
      <c r="Q298" t="inlineStr">
        <is>
          <t>NIH publication ; no. 90-2964</t>
        </is>
      </c>
      <c r="R298" t="inlineStr">
        <is>
          <t xml:space="preserve">QU </t>
        </is>
      </c>
      <c r="S298" t="n">
        <v>10</v>
      </c>
      <c r="T298" t="n">
        <v>10</v>
      </c>
      <c r="U298" t="inlineStr">
        <is>
          <t>2001-11-17</t>
        </is>
      </c>
      <c r="V298" t="inlineStr">
        <is>
          <t>2001-11-17</t>
        </is>
      </c>
      <c r="W298" t="inlineStr">
        <is>
          <t>1992-04-15</t>
        </is>
      </c>
      <c r="X298" t="inlineStr">
        <is>
          <t>1992-04-15</t>
        </is>
      </c>
      <c r="Y298" t="n">
        <v>170</v>
      </c>
      <c r="Z298" t="n">
        <v>166</v>
      </c>
      <c r="AA298" t="n">
        <v>176</v>
      </c>
      <c r="AB298" t="n">
        <v>3</v>
      </c>
      <c r="AC298" t="n">
        <v>3</v>
      </c>
      <c r="AD298" t="n">
        <v>3</v>
      </c>
      <c r="AE298" t="n">
        <v>3</v>
      </c>
      <c r="AF298" t="n">
        <v>0</v>
      </c>
      <c r="AG298" t="n">
        <v>0</v>
      </c>
      <c r="AH298" t="n">
        <v>0</v>
      </c>
      <c r="AI298" t="n">
        <v>0</v>
      </c>
      <c r="AJ298" t="n">
        <v>1</v>
      </c>
      <c r="AK298" t="n">
        <v>1</v>
      </c>
      <c r="AL298" t="n">
        <v>2</v>
      </c>
      <c r="AM298" t="n">
        <v>2</v>
      </c>
      <c r="AN298" t="n">
        <v>0</v>
      </c>
      <c r="AO298" t="n">
        <v>0</v>
      </c>
      <c r="AP298" t="inlineStr">
        <is>
          <t>Yes</t>
        </is>
      </c>
      <c r="AQ298" t="inlineStr">
        <is>
          <t>No</t>
        </is>
      </c>
      <c r="AR298">
        <f>HYPERLINK("http://catalog.hathitrust.org/Record/003197281","HathiTrust Record")</f>
        <v/>
      </c>
      <c r="AS298">
        <f>HYPERLINK("https://creighton-primo.hosted.exlibrisgroup.com/primo-explore/search?tab=default_tab&amp;search_scope=EVERYTHING&amp;vid=01CRU&amp;lang=en_US&amp;offset=0&amp;query=any,contains,991001302349702656","Catalog Record")</f>
        <v/>
      </c>
      <c r="AT298">
        <f>HYPERLINK("http://www.worldcat.org/oclc/21254160","WorldCat Record")</f>
        <v/>
      </c>
      <c r="AU298" t="inlineStr">
        <is>
          <t>22837566:eng</t>
        </is>
      </c>
      <c r="AV298" t="inlineStr">
        <is>
          <t>21254160</t>
        </is>
      </c>
      <c r="AW298" t="inlineStr">
        <is>
          <t>991001302349702656</t>
        </is>
      </c>
      <c r="AX298" t="inlineStr">
        <is>
          <t>991001302349702656</t>
        </is>
      </c>
      <c r="AY298" t="inlineStr">
        <is>
          <t>2265633720002656</t>
        </is>
      </c>
      <c r="AZ298" t="inlineStr">
        <is>
          <t>BOOK</t>
        </is>
      </c>
      <c r="BC298" t="inlineStr">
        <is>
          <t>30001002412346</t>
        </is>
      </c>
      <c r="BD298" t="inlineStr">
        <is>
          <t>893274003</t>
        </is>
      </c>
    </row>
    <row r="299">
      <c r="A299" t="inlineStr">
        <is>
          <t>No</t>
        </is>
      </c>
      <c r="B299" t="inlineStr">
        <is>
          <t>QU 95 S654c 1981</t>
        </is>
      </c>
      <c r="C299" t="inlineStr">
        <is>
          <t>0                      QU 0095000S  654c        1981</t>
        </is>
      </c>
      <c r="D299" t="inlineStr">
        <is>
          <t>Cholesterol autoxidation / Leland L. Smith.</t>
        </is>
      </c>
      <c r="F299" t="inlineStr">
        <is>
          <t>No</t>
        </is>
      </c>
      <c r="G299" t="inlineStr">
        <is>
          <t>1</t>
        </is>
      </c>
      <c r="H299" t="inlineStr">
        <is>
          <t>No</t>
        </is>
      </c>
      <c r="I299" t="inlineStr">
        <is>
          <t>No</t>
        </is>
      </c>
      <c r="J299" t="inlineStr">
        <is>
          <t>0</t>
        </is>
      </c>
      <c r="K299" t="inlineStr">
        <is>
          <t>Smith, Leland L.</t>
        </is>
      </c>
      <c r="L299" t="inlineStr">
        <is>
          <t>New York : Plenum, c1981.</t>
        </is>
      </c>
      <c r="M299" t="inlineStr">
        <is>
          <t>1981</t>
        </is>
      </c>
      <c r="O299" t="inlineStr">
        <is>
          <t>eng</t>
        </is>
      </c>
      <c r="P299" t="inlineStr">
        <is>
          <t>xxu</t>
        </is>
      </c>
      <c r="R299" t="inlineStr">
        <is>
          <t xml:space="preserve">QU </t>
        </is>
      </c>
      <c r="S299" t="n">
        <v>2</v>
      </c>
      <c r="T299" t="n">
        <v>2</v>
      </c>
      <c r="U299" t="inlineStr">
        <is>
          <t>1999-10-09</t>
        </is>
      </c>
      <c r="V299" t="inlineStr">
        <is>
          <t>1999-10-09</t>
        </is>
      </c>
      <c r="W299" t="inlineStr">
        <is>
          <t>1988-12-30</t>
        </is>
      </c>
      <c r="X299" t="inlineStr">
        <is>
          <t>1988-12-30</t>
        </is>
      </c>
      <c r="Y299" t="n">
        <v>175</v>
      </c>
      <c r="Z299" t="n">
        <v>129</v>
      </c>
      <c r="AA299" t="n">
        <v>149</v>
      </c>
      <c r="AB299" t="n">
        <v>2</v>
      </c>
      <c r="AC299" t="n">
        <v>2</v>
      </c>
      <c r="AD299" t="n">
        <v>4</v>
      </c>
      <c r="AE299" t="n">
        <v>5</v>
      </c>
      <c r="AF299" t="n">
        <v>1</v>
      </c>
      <c r="AG299" t="n">
        <v>2</v>
      </c>
      <c r="AH299" t="n">
        <v>1</v>
      </c>
      <c r="AI299" t="n">
        <v>1</v>
      </c>
      <c r="AJ299" t="n">
        <v>2</v>
      </c>
      <c r="AK299" t="n">
        <v>3</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HYPERLINK("https://creighton-primo.hosted.exlibrisgroup.com/primo-explore/search?tab=default_tab&amp;search_scope=EVERYTHING&amp;vid=01CRU&amp;lang=en_US&amp;offset=0&amp;query=any,contains,991000899969702656","Catalog Record")</f>
        <v/>
      </c>
      <c r="AT299">
        <f>HYPERLINK("http://www.worldcat.org/oclc/7573509","WorldCat Record")</f>
        <v/>
      </c>
      <c r="AU299" t="inlineStr">
        <is>
          <t>437935:eng</t>
        </is>
      </c>
      <c r="AV299" t="inlineStr">
        <is>
          <t>7573509</t>
        </is>
      </c>
      <c r="AW299" t="inlineStr">
        <is>
          <t>991000899969702656</t>
        </is>
      </c>
      <c r="AX299" t="inlineStr">
        <is>
          <t>991000899969702656</t>
        </is>
      </c>
      <c r="AY299" t="inlineStr">
        <is>
          <t>2262222830002656</t>
        </is>
      </c>
      <c r="AZ299" t="inlineStr">
        <is>
          <t>BOOK</t>
        </is>
      </c>
      <c r="BB299" t="inlineStr">
        <is>
          <t>9780306407598</t>
        </is>
      </c>
      <c r="BC299" t="inlineStr">
        <is>
          <t>30001000159881</t>
        </is>
      </c>
      <c r="BD299" t="inlineStr">
        <is>
          <t>893464980</t>
        </is>
      </c>
    </row>
    <row r="300">
      <c r="A300" t="inlineStr">
        <is>
          <t>No</t>
        </is>
      </c>
      <c r="B300" t="inlineStr">
        <is>
          <t>QU 95 T741 2008</t>
        </is>
      </c>
      <c r="C300" t="inlineStr">
        <is>
          <t>0                      QU 0095000T  741         2008</t>
        </is>
      </c>
      <c r="D300" t="inlineStr">
        <is>
          <t>The cholesterol controversy / Gilbert Thompson.</t>
        </is>
      </c>
      <c r="F300" t="inlineStr">
        <is>
          <t>No</t>
        </is>
      </c>
      <c r="G300" t="inlineStr">
        <is>
          <t>1</t>
        </is>
      </c>
      <c r="H300" t="inlineStr">
        <is>
          <t>No</t>
        </is>
      </c>
      <c r="I300" t="inlineStr">
        <is>
          <t>No</t>
        </is>
      </c>
      <c r="J300" t="inlineStr">
        <is>
          <t>0</t>
        </is>
      </c>
      <c r="K300" t="inlineStr">
        <is>
          <t>Thompson, G. R. (Gilbert R.)</t>
        </is>
      </c>
      <c r="L300" t="inlineStr">
        <is>
          <t>London ; Ashland, OH : Royal Society of Medicine Press, c2008.</t>
        </is>
      </c>
      <c r="M300" t="inlineStr">
        <is>
          <t>2008</t>
        </is>
      </c>
      <c r="O300" t="inlineStr">
        <is>
          <t>eng</t>
        </is>
      </c>
      <c r="P300" t="inlineStr">
        <is>
          <t>enk</t>
        </is>
      </c>
      <c r="R300" t="inlineStr">
        <is>
          <t xml:space="preserve">QU </t>
        </is>
      </c>
      <c r="S300" t="n">
        <v>1</v>
      </c>
      <c r="T300" t="n">
        <v>1</v>
      </c>
      <c r="U300" t="inlineStr">
        <is>
          <t>2010-02-12</t>
        </is>
      </c>
      <c r="V300" t="inlineStr">
        <is>
          <t>2010-02-12</t>
        </is>
      </c>
      <c r="W300" t="inlineStr">
        <is>
          <t>2010-02-04</t>
        </is>
      </c>
      <c r="X300" t="inlineStr">
        <is>
          <t>2010-02-04</t>
        </is>
      </c>
      <c r="Y300" t="n">
        <v>58</v>
      </c>
      <c r="Z300" t="n">
        <v>33</v>
      </c>
      <c r="AA300" t="n">
        <v>33</v>
      </c>
      <c r="AB300" t="n">
        <v>1</v>
      </c>
      <c r="AC300" t="n">
        <v>1</v>
      </c>
      <c r="AD300" t="n">
        <v>0</v>
      </c>
      <c r="AE300" t="n">
        <v>0</v>
      </c>
      <c r="AF300" t="n">
        <v>0</v>
      </c>
      <c r="AG300" t="n">
        <v>0</v>
      </c>
      <c r="AH300" t="n">
        <v>0</v>
      </c>
      <c r="AI300" t="n">
        <v>0</v>
      </c>
      <c r="AJ300" t="n">
        <v>0</v>
      </c>
      <c r="AK300" t="n">
        <v>0</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HYPERLINK("https://creighton-primo.hosted.exlibrisgroup.com/primo-explore/search?tab=default_tab&amp;search_scope=EVERYTHING&amp;vid=01CRU&amp;lang=en_US&amp;offset=0&amp;query=any,contains,991001574989702656","Catalog Record")</f>
        <v/>
      </c>
      <c r="AT300">
        <f>HYPERLINK("http://www.worldcat.org/oclc/435727801","WorldCat Record")</f>
        <v/>
      </c>
      <c r="AU300" t="inlineStr">
        <is>
          <t>321971288:eng</t>
        </is>
      </c>
      <c r="AV300" t="inlineStr">
        <is>
          <t>435727801</t>
        </is>
      </c>
      <c r="AW300" t="inlineStr">
        <is>
          <t>991001574989702656</t>
        </is>
      </c>
      <c r="AX300" t="inlineStr">
        <is>
          <t>991001574989702656</t>
        </is>
      </c>
      <c r="AY300" t="inlineStr">
        <is>
          <t>2264394020002656</t>
        </is>
      </c>
      <c r="AZ300" t="inlineStr">
        <is>
          <t>BOOK</t>
        </is>
      </c>
      <c r="BB300" t="inlineStr">
        <is>
          <t>9781853158025</t>
        </is>
      </c>
      <c r="BC300" t="inlineStr">
        <is>
          <t>30001005364296</t>
        </is>
      </c>
      <c r="BD300" t="inlineStr">
        <is>
          <t>893377340</t>
        </is>
      </c>
    </row>
    <row r="301">
      <c r="A301" t="inlineStr">
        <is>
          <t>No</t>
        </is>
      </c>
      <c r="B301" t="inlineStr">
        <is>
          <t>QU 96 M379m 1987</t>
        </is>
      </c>
      <c r="C301" t="inlineStr">
        <is>
          <t>0                      QU 0096000M  379m        1987</t>
        </is>
      </c>
      <c r="D301" t="inlineStr">
        <is>
          <t>Metabolic regulation : a molecular approach / B.R. Martin.</t>
        </is>
      </c>
      <c r="F301" t="inlineStr">
        <is>
          <t>No</t>
        </is>
      </c>
      <c r="G301" t="inlineStr">
        <is>
          <t>1</t>
        </is>
      </c>
      <c r="H301" t="inlineStr">
        <is>
          <t>No</t>
        </is>
      </c>
      <c r="I301" t="inlineStr">
        <is>
          <t>No</t>
        </is>
      </c>
      <c r="J301" t="inlineStr">
        <is>
          <t>0</t>
        </is>
      </c>
      <c r="K301" t="inlineStr">
        <is>
          <t>Martin, B. Richard.</t>
        </is>
      </c>
      <c r="L301" t="inlineStr">
        <is>
          <t>Oxford : Blackwell Scientific, c1987.</t>
        </is>
      </c>
      <c r="M301" t="inlineStr">
        <is>
          <t>1987</t>
        </is>
      </c>
      <c r="O301" t="inlineStr">
        <is>
          <t>eng</t>
        </is>
      </c>
      <c r="P301" t="inlineStr">
        <is>
          <t>enk</t>
        </is>
      </c>
      <c r="R301" t="inlineStr">
        <is>
          <t xml:space="preserve">QU </t>
        </is>
      </c>
      <c r="S301" t="n">
        <v>11</v>
      </c>
      <c r="T301" t="n">
        <v>11</v>
      </c>
      <c r="U301" t="inlineStr">
        <is>
          <t>2006-12-15</t>
        </is>
      </c>
      <c r="V301" t="inlineStr">
        <is>
          <t>2006-12-15</t>
        </is>
      </c>
      <c r="W301" t="inlineStr">
        <is>
          <t>1988-01-06</t>
        </is>
      </c>
      <c r="X301" t="inlineStr">
        <is>
          <t>1988-01-06</t>
        </is>
      </c>
      <c r="Y301" t="n">
        <v>288</v>
      </c>
      <c r="Z301" t="n">
        <v>163</v>
      </c>
      <c r="AA301" t="n">
        <v>198</v>
      </c>
      <c r="AB301" t="n">
        <v>3</v>
      </c>
      <c r="AC301" t="n">
        <v>3</v>
      </c>
      <c r="AD301" t="n">
        <v>9</v>
      </c>
      <c r="AE301" t="n">
        <v>11</v>
      </c>
      <c r="AF301" t="n">
        <v>4</v>
      </c>
      <c r="AG301" t="n">
        <v>5</v>
      </c>
      <c r="AH301" t="n">
        <v>3</v>
      </c>
      <c r="AI301" t="n">
        <v>3</v>
      </c>
      <c r="AJ301" t="n">
        <v>3</v>
      </c>
      <c r="AK301" t="n">
        <v>5</v>
      </c>
      <c r="AL301" t="n">
        <v>2</v>
      </c>
      <c r="AM301" t="n">
        <v>2</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HYPERLINK("https://creighton-primo.hosted.exlibrisgroup.com/primo-explore/search?tab=default_tab&amp;search_scope=EVERYTHING&amp;vid=01CRU&amp;lang=en_US&amp;offset=0&amp;query=any,contains,991001536139702656","Catalog Record")</f>
        <v/>
      </c>
      <c r="AT301">
        <f>HYPERLINK("http://www.worldcat.org/oclc/18686304","WorldCat Record")</f>
        <v/>
      </c>
      <c r="AU301" t="inlineStr">
        <is>
          <t>836629197:eng</t>
        </is>
      </c>
      <c r="AV301" t="inlineStr">
        <is>
          <t>18686304</t>
        </is>
      </c>
      <c r="AW301" t="inlineStr">
        <is>
          <t>991001536139702656</t>
        </is>
      </c>
      <c r="AX301" t="inlineStr">
        <is>
          <t>991001536139702656</t>
        </is>
      </c>
      <c r="AY301" t="inlineStr">
        <is>
          <t>2258683350002656</t>
        </is>
      </c>
      <c r="AZ301" t="inlineStr">
        <is>
          <t>BOOK</t>
        </is>
      </c>
      <c r="BB301" t="inlineStr">
        <is>
          <t>9780632011575</t>
        </is>
      </c>
      <c r="BC301" t="inlineStr">
        <is>
          <t>30001000622953</t>
        </is>
      </c>
      <c r="BD301" t="inlineStr">
        <is>
          <t>893732151</t>
        </is>
      </c>
    </row>
    <row r="302">
      <c r="A302" t="inlineStr">
        <is>
          <t>No</t>
        </is>
      </c>
      <c r="B302" t="inlineStr">
        <is>
          <t>QU 105 B6682 1998</t>
        </is>
      </c>
      <c r="C302" t="inlineStr">
        <is>
          <t>0                      QU 0105000B  6682        1998</t>
        </is>
      </c>
      <c r="D302" t="inlineStr">
        <is>
          <t>Body fluids and kidney function / edited by Robert A. Brace, Mark A. Hanson, Charles H. Rodeck.</t>
        </is>
      </c>
      <c r="F302" t="inlineStr">
        <is>
          <t>No</t>
        </is>
      </c>
      <c r="G302" t="inlineStr">
        <is>
          <t>1</t>
        </is>
      </c>
      <c r="H302" t="inlineStr">
        <is>
          <t>No</t>
        </is>
      </c>
      <c r="I302" t="inlineStr">
        <is>
          <t>No</t>
        </is>
      </c>
      <c r="J302" t="inlineStr">
        <is>
          <t>0</t>
        </is>
      </c>
      <c r="L302" t="inlineStr">
        <is>
          <t>Cambridge, UK ; New York : Cambridge University Press, 1998.</t>
        </is>
      </c>
      <c r="M302" t="inlineStr">
        <is>
          <t>1998</t>
        </is>
      </c>
      <c r="O302" t="inlineStr">
        <is>
          <t>eng</t>
        </is>
      </c>
      <c r="P302" t="inlineStr">
        <is>
          <t>enk</t>
        </is>
      </c>
      <c r="Q302" t="inlineStr">
        <is>
          <t>Fetus and neonate ; v. 4</t>
        </is>
      </c>
      <c r="R302" t="inlineStr">
        <is>
          <t xml:space="preserve">QU </t>
        </is>
      </c>
      <c r="S302" t="n">
        <v>1</v>
      </c>
      <c r="T302" t="n">
        <v>1</v>
      </c>
      <c r="U302" t="inlineStr">
        <is>
          <t>1998-11-04</t>
        </is>
      </c>
      <c r="V302" t="inlineStr">
        <is>
          <t>1998-11-04</t>
        </is>
      </c>
      <c r="W302" t="inlineStr">
        <is>
          <t>1998-11-03</t>
        </is>
      </c>
      <c r="X302" t="inlineStr">
        <is>
          <t>1998-11-03</t>
        </is>
      </c>
      <c r="Y302" t="n">
        <v>63</v>
      </c>
      <c r="Z302" t="n">
        <v>38</v>
      </c>
      <c r="AA302" t="n">
        <v>38</v>
      </c>
      <c r="AB302" t="n">
        <v>1</v>
      </c>
      <c r="AC302" t="n">
        <v>1</v>
      </c>
      <c r="AD302" t="n">
        <v>0</v>
      </c>
      <c r="AE302" t="n">
        <v>0</v>
      </c>
      <c r="AF302" t="n">
        <v>0</v>
      </c>
      <c r="AG302" t="n">
        <v>0</v>
      </c>
      <c r="AH302" t="n">
        <v>0</v>
      </c>
      <c r="AI302" t="n">
        <v>0</v>
      </c>
      <c r="AJ302" t="n">
        <v>0</v>
      </c>
      <c r="AK302" t="n">
        <v>0</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HYPERLINK("https://creighton-primo.hosted.exlibrisgroup.com/primo-explore/search?tab=default_tab&amp;search_scope=EVERYTHING&amp;vid=01CRU&amp;lang=en_US&amp;offset=0&amp;query=any,contains,991001570339702656","Catalog Record")</f>
        <v/>
      </c>
      <c r="AT302">
        <f>HYPERLINK("http://www.worldcat.org/oclc/36729026","WorldCat Record")</f>
        <v/>
      </c>
      <c r="AU302" t="inlineStr">
        <is>
          <t>364742660:eng</t>
        </is>
      </c>
      <c r="AV302" t="inlineStr">
        <is>
          <t>36729026</t>
        </is>
      </c>
      <c r="AW302" t="inlineStr">
        <is>
          <t>991001570339702656</t>
        </is>
      </c>
      <c r="AX302" t="inlineStr">
        <is>
          <t>991001570339702656</t>
        </is>
      </c>
      <c r="AY302" t="inlineStr">
        <is>
          <t>2258223620002656</t>
        </is>
      </c>
      <c r="AZ302" t="inlineStr">
        <is>
          <t>BOOK</t>
        </is>
      </c>
      <c r="BB302" t="inlineStr">
        <is>
          <t>9780521593922</t>
        </is>
      </c>
      <c r="BC302" t="inlineStr">
        <is>
          <t>30001003803360</t>
        </is>
      </c>
      <c r="BD302" t="inlineStr">
        <is>
          <t>893743903</t>
        </is>
      </c>
    </row>
    <row r="303">
      <c r="A303" t="inlineStr">
        <is>
          <t>No</t>
        </is>
      </c>
      <c r="B303" t="inlineStr">
        <is>
          <t>QU 105 C5213f 2006</t>
        </is>
      </c>
      <c r="C303" t="inlineStr">
        <is>
          <t>0                      QU 0105000C  5213f       2006</t>
        </is>
      </c>
      <c r="D303" t="inlineStr">
        <is>
          <t>Fluids &amp; electrolytes / Cynthia C. Chernecky, Denise Macklin, Kathleen Murphy-Ende.</t>
        </is>
      </c>
      <c r="F303" t="inlineStr">
        <is>
          <t>No</t>
        </is>
      </c>
      <c r="G303" t="inlineStr">
        <is>
          <t>1</t>
        </is>
      </c>
      <c r="H303" t="inlineStr">
        <is>
          <t>No</t>
        </is>
      </c>
      <c r="I303" t="inlineStr">
        <is>
          <t>No</t>
        </is>
      </c>
      <c r="J303" t="inlineStr">
        <is>
          <t>0</t>
        </is>
      </c>
      <c r="K303" t="inlineStr">
        <is>
          <t>Chernecky, Cynthia C.</t>
        </is>
      </c>
      <c r="L303" t="inlineStr">
        <is>
          <t>St. Louis : Elsevier Saunders, c2006.</t>
        </is>
      </c>
      <c r="M303" t="inlineStr">
        <is>
          <t>2006</t>
        </is>
      </c>
      <c r="N303" t="inlineStr">
        <is>
          <t>2nd ed.</t>
        </is>
      </c>
      <c r="O303" t="inlineStr">
        <is>
          <t>eng</t>
        </is>
      </c>
      <c r="P303" t="inlineStr">
        <is>
          <t>mou</t>
        </is>
      </c>
      <c r="Q303" t="inlineStr">
        <is>
          <t>Saunders nursing survival guide</t>
        </is>
      </c>
      <c r="R303" t="inlineStr">
        <is>
          <t xml:space="preserve">QU </t>
        </is>
      </c>
      <c r="S303" t="n">
        <v>1</v>
      </c>
      <c r="T303" t="n">
        <v>1</v>
      </c>
      <c r="U303" t="inlineStr">
        <is>
          <t>2010-03-24</t>
        </is>
      </c>
      <c r="V303" t="inlineStr">
        <is>
          <t>2010-03-24</t>
        </is>
      </c>
      <c r="W303" t="inlineStr">
        <is>
          <t>2010-02-08</t>
        </is>
      </c>
      <c r="X303" t="inlineStr">
        <is>
          <t>2010-02-08</t>
        </is>
      </c>
      <c r="Y303" t="n">
        <v>238</v>
      </c>
      <c r="Z303" t="n">
        <v>173</v>
      </c>
      <c r="AA303" t="n">
        <v>177</v>
      </c>
      <c r="AB303" t="n">
        <v>1</v>
      </c>
      <c r="AC303" t="n">
        <v>1</v>
      </c>
      <c r="AD303" t="n">
        <v>4</v>
      </c>
      <c r="AE303" t="n">
        <v>4</v>
      </c>
      <c r="AF303" t="n">
        <v>4</v>
      </c>
      <c r="AG303" t="n">
        <v>4</v>
      </c>
      <c r="AH303" t="n">
        <v>0</v>
      </c>
      <c r="AI303" t="n">
        <v>0</v>
      </c>
      <c r="AJ303" t="n">
        <v>0</v>
      </c>
      <c r="AK303" t="n">
        <v>0</v>
      </c>
      <c r="AL303" t="n">
        <v>0</v>
      </c>
      <c r="AM303" t="n">
        <v>0</v>
      </c>
      <c r="AN303" t="n">
        <v>0</v>
      </c>
      <c r="AO303" t="n">
        <v>0</v>
      </c>
      <c r="AP303" t="inlineStr">
        <is>
          <t>No</t>
        </is>
      </c>
      <c r="AQ303" t="inlineStr">
        <is>
          <t>Yes</t>
        </is>
      </c>
      <c r="AR303">
        <f>HYPERLINK("http://catalog.hathitrust.org/Record/005111262","HathiTrust Record")</f>
        <v/>
      </c>
      <c r="AS303">
        <f>HYPERLINK("https://creighton-primo.hosted.exlibrisgroup.com/primo-explore/search?tab=default_tab&amp;search_scope=EVERYTHING&amp;vid=01CRU&amp;lang=en_US&amp;offset=0&amp;query=any,contains,991001575269702656","Catalog Record")</f>
        <v/>
      </c>
      <c r="AT303">
        <f>HYPERLINK("http://www.worldcat.org/oclc/61309449","WorldCat Record")</f>
        <v/>
      </c>
      <c r="AU303" t="inlineStr">
        <is>
          <t>2709445:eng</t>
        </is>
      </c>
      <c r="AV303" t="inlineStr">
        <is>
          <t>61309449</t>
        </is>
      </c>
      <c r="AW303" t="inlineStr">
        <is>
          <t>991001575269702656</t>
        </is>
      </c>
      <c r="AX303" t="inlineStr">
        <is>
          <t>991001575269702656</t>
        </is>
      </c>
      <c r="AY303" t="inlineStr">
        <is>
          <t>2257513960002656</t>
        </is>
      </c>
      <c r="AZ303" t="inlineStr">
        <is>
          <t>BOOK</t>
        </is>
      </c>
      <c r="BB303" t="inlineStr">
        <is>
          <t>9781416028796</t>
        </is>
      </c>
      <c r="BC303" t="inlineStr">
        <is>
          <t>30001005344603</t>
        </is>
      </c>
      <c r="BD303" t="inlineStr">
        <is>
          <t>893279229</t>
        </is>
      </c>
    </row>
    <row r="304">
      <c r="A304" t="inlineStr">
        <is>
          <t>No</t>
        </is>
      </c>
      <c r="B304" t="inlineStr">
        <is>
          <t>QU 105 D548f 1974</t>
        </is>
      </c>
      <c r="C304" t="inlineStr">
        <is>
          <t>0                      QU 0105000D  548f        1974</t>
        </is>
      </c>
      <c r="D304" t="inlineStr">
        <is>
          <t>Fluid and electrolyte balance : a programmed text / Margaret L. Dickens.</t>
        </is>
      </c>
      <c r="F304" t="inlineStr">
        <is>
          <t>No</t>
        </is>
      </c>
      <c r="G304" t="inlineStr">
        <is>
          <t>1</t>
        </is>
      </c>
      <c r="H304" t="inlineStr">
        <is>
          <t>No</t>
        </is>
      </c>
      <c r="I304" t="inlineStr">
        <is>
          <t>Yes</t>
        </is>
      </c>
      <c r="J304" t="inlineStr">
        <is>
          <t>0</t>
        </is>
      </c>
      <c r="K304" t="inlineStr">
        <is>
          <t>Dickens, Margaret L.</t>
        </is>
      </c>
      <c r="L304" t="inlineStr">
        <is>
          <t>Philadelphia : Davis, c1974.</t>
        </is>
      </c>
      <c r="M304" t="inlineStr">
        <is>
          <t>1974</t>
        </is>
      </c>
      <c r="N304" t="inlineStr">
        <is>
          <t>3d ed.</t>
        </is>
      </c>
      <c r="O304" t="inlineStr">
        <is>
          <t>eng</t>
        </is>
      </c>
      <c r="P304" t="inlineStr">
        <is>
          <t>|||</t>
        </is>
      </c>
      <c r="R304" t="inlineStr">
        <is>
          <t xml:space="preserve">QU </t>
        </is>
      </c>
      <c r="S304" t="n">
        <v>2</v>
      </c>
      <c r="T304" t="n">
        <v>2</v>
      </c>
      <c r="U304" t="inlineStr">
        <is>
          <t>1994-03-05</t>
        </is>
      </c>
      <c r="V304" t="inlineStr">
        <is>
          <t>1994-03-05</t>
        </is>
      </c>
      <c r="W304" t="inlineStr">
        <is>
          <t>1988-01-28</t>
        </is>
      </c>
      <c r="X304" t="inlineStr">
        <is>
          <t>1988-01-28</t>
        </is>
      </c>
      <c r="Y304" t="n">
        <v>112</v>
      </c>
      <c r="Z304" t="n">
        <v>102</v>
      </c>
      <c r="AA304" t="n">
        <v>225</v>
      </c>
      <c r="AB304" t="n">
        <v>1</v>
      </c>
      <c r="AC304" t="n">
        <v>2</v>
      </c>
      <c r="AD304" t="n">
        <v>2</v>
      </c>
      <c r="AE304" t="n">
        <v>9</v>
      </c>
      <c r="AF304" t="n">
        <v>0</v>
      </c>
      <c r="AG304" t="n">
        <v>4</v>
      </c>
      <c r="AH304" t="n">
        <v>0</v>
      </c>
      <c r="AI304" t="n">
        <v>0</v>
      </c>
      <c r="AJ304" t="n">
        <v>2</v>
      </c>
      <c r="AK304" t="n">
        <v>6</v>
      </c>
      <c r="AL304" t="n">
        <v>0</v>
      </c>
      <c r="AM304" t="n">
        <v>0</v>
      </c>
      <c r="AN304" t="n">
        <v>0</v>
      </c>
      <c r="AO304" t="n">
        <v>0</v>
      </c>
      <c r="AP304" t="inlineStr">
        <is>
          <t>No</t>
        </is>
      </c>
      <c r="AQ304" t="inlineStr">
        <is>
          <t>Yes</t>
        </is>
      </c>
      <c r="AR304">
        <f>HYPERLINK("http://catalog.hathitrust.org/Record/000013177","HathiTrust Record")</f>
        <v/>
      </c>
      <c r="AS304">
        <f>HYPERLINK("https://creighton-primo.hosted.exlibrisgroup.com/primo-explore/search?tab=default_tab&amp;search_scope=EVERYTHING&amp;vid=01CRU&amp;lang=en_US&amp;offset=0&amp;query=any,contains,991000903439702656","Catalog Record")</f>
        <v/>
      </c>
      <c r="AT304">
        <f>HYPERLINK("http://www.worldcat.org/oclc/857309","WorldCat Record")</f>
        <v/>
      </c>
      <c r="AU304" t="inlineStr">
        <is>
          <t>4956223:eng</t>
        </is>
      </c>
      <c r="AV304" t="inlineStr">
        <is>
          <t>857309</t>
        </is>
      </c>
      <c r="AW304" t="inlineStr">
        <is>
          <t>991000903439702656</t>
        </is>
      </c>
      <c r="AX304" t="inlineStr">
        <is>
          <t>991000903439702656</t>
        </is>
      </c>
      <c r="AY304" t="inlineStr">
        <is>
          <t>2266764790002656</t>
        </is>
      </c>
      <c r="AZ304" t="inlineStr">
        <is>
          <t>BOOK</t>
        </is>
      </c>
      <c r="BC304" t="inlineStr">
        <is>
          <t>30001000175051</t>
        </is>
      </c>
      <c r="BD304" t="inlineStr">
        <is>
          <t>893167832</t>
        </is>
      </c>
    </row>
    <row r="305">
      <c r="A305" t="inlineStr">
        <is>
          <t>No</t>
        </is>
      </c>
      <c r="B305" t="inlineStr">
        <is>
          <t>QU 105 E955 1993</t>
        </is>
      </c>
      <c r="C305" t="inlineStr">
        <is>
          <t>0                      QU 0105000E  955         1993</t>
        </is>
      </c>
      <c r="D305" t="inlineStr">
        <is>
          <t>Extracellular matrix : chemistry, biology, and pathobiology with emphasis on the liver / edited by Mark A. Zern, Lola M. Reid.</t>
        </is>
      </c>
      <c r="F305" t="inlineStr">
        <is>
          <t>No</t>
        </is>
      </c>
      <c r="G305" t="inlineStr">
        <is>
          <t>1</t>
        </is>
      </c>
      <c r="H305" t="inlineStr">
        <is>
          <t>No</t>
        </is>
      </c>
      <c r="I305" t="inlineStr">
        <is>
          <t>No</t>
        </is>
      </c>
      <c r="J305" t="inlineStr">
        <is>
          <t>0</t>
        </is>
      </c>
      <c r="L305" t="inlineStr">
        <is>
          <t>New York : Dekker, c1993.</t>
        </is>
      </c>
      <c r="M305" t="inlineStr">
        <is>
          <t>1993</t>
        </is>
      </c>
      <c r="O305" t="inlineStr">
        <is>
          <t>eng</t>
        </is>
      </c>
      <c r="P305" t="inlineStr">
        <is>
          <t>nyu</t>
        </is>
      </c>
      <c r="R305" t="inlineStr">
        <is>
          <t xml:space="preserve">QU </t>
        </is>
      </c>
      <c r="S305" t="n">
        <v>22</v>
      </c>
      <c r="T305" t="n">
        <v>22</v>
      </c>
      <c r="U305" t="inlineStr">
        <is>
          <t>1998-03-18</t>
        </is>
      </c>
      <c r="V305" t="inlineStr">
        <is>
          <t>1998-03-18</t>
        </is>
      </c>
      <c r="W305" t="inlineStr">
        <is>
          <t>1993-08-27</t>
        </is>
      </c>
      <c r="X305" t="inlineStr">
        <is>
          <t>1993-08-27</t>
        </is>
      </c>
      <c r="Y305" t="n">
        <v>87</v>
      </c>
      <c r="Z305" t="n">
        <v>55</v>
      </c>
      <c r="AA305" t="n">
        <v>98</v>
      </c>
      <c r="AB305" t="n">
        <v>1</v>
      </c>
      <c r="AC305" t="n">
        <v>1</v>
      </c>
      <c r="AD305" t="n">
        <v>2</v>
      </c>
      <c r="AE305" t="n">
        <v>5</v>
      </c>
      <c r="AF305" t="n">
        <v>0</v>
      </c>
      <c r="AG305" t="n">
        <v>2</v>
      </c>
      <c r="AH305" t="n">
        <v>1</v>
      </c>
      <c r="AI305" t="n">
        <v>2</v>
      </c>
      <c r="AJ305" t="n">
        <v>1</v>
      </c>
      <c r="AK305" t="n">
        <v>3</v>
      </c>
      <c r="AL305" t="n">
        <v>0</v>
      </c>
      <c r="AM305" t="n">
        <v>0</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HYPERLINK("https://creighton-primo.hosted.exlibrisgroup.com/primo-explore/search?tab=default_tab&amp;search_scope=EVERYTHING&amp;vid=01CRU&amp;lang=en_US&amp;offset=0&amp;query=any,contains,991001510799702656","Catalog Record")</f>
        <v/>
      </c>
      <c r="AT305">
        <f>HYPERLINK("http://www.worldcat.org/oclc/27221629","WorldCat Record")</f>
        <v/>
      </c>
      <c r="AU305" t="inlineStr">
        <is>
          <t>799560731:eng</t>
        </is>
      </c>
      <c r="AV305" t="inlineStr">
        <is>
          <t>27221629</t>
        </is>
      </c>
      <c r="AW305" t="inlineStr">
        <is>
          <t>991001510799702656</t>
        </is>
      </c>
      <c r="AX305" t="inlineStr">
        <is>
          <t>991001510799702656</t>
        </is>
      </c>
      <c r="AY305" t="inlineStr">
        <is>
          <t>2260466970002656</t>
        </is>
      </c>
      <c r="AZ305" t="inlineStr">
        <is>
          <t>BOOK</t>
        </is>
      </c>
      <c r="BB305" t="inlineStr">
        <is>
          <t>9780824788308</t>
        </is>
      </c>
      <c r="BC305" t="inlineStr">
        <is>
          <t>30001002600775</t>
        </is>
      </c>
      <c r="BD305" t="inlineStr">
        <is>
          <t>893358675</t>
        </is>
      </c>
    </row>
    <row r="306">
      <c r="A306" t="inlineStr">
        <is>
          <t>No</t>
        </is>
      </c>
      <c r="B306" t="inlineStr">
        <is>
          <t>QU 105 L549h 1949</t>
        </is>
      </c>
      <c r="C306" t="inlineStr">
        <is>
          <t>0                      QU 0105000L  549h        1949</t>
        </is>
      </c>
      <c r="D306" t="inlineStr">
        <is>
          <t>Hematin compounds and bile pigments : their constitution, metabolism, and function / by R. Lemberg and J.W. Legge.</t>
        </is>
      </c>
      <c r="F306" t="inlineStr">
        <is>
          <t>No</t>
        </is>
      </c>
      <c r="G306" t="inlineStr">
        <is>
          <t>1</t>
        </is>
      </c>
      <c r="H306" t="inlineStr">
        <is>
          <t>No</t>
        </is>
      </c>
      <c r="I306" t="inlineStr">
        <is>
          <t>No</t>
        </is>
      </c>
      <c r="J306" t="inlineStr">
        <is>
          <t>0</t>
        </is>
      </c>
      <c r="K306" t="inlineStr">
        <is>
          <t>Lemberg, R.</t>
        </is>
      </c>
      <c r="L306" t="inlineStr">
        <is>
          <t>New York : Interscience Publishers, 1949.</t>
        </is>
      </c>
      <c r="M306" t="inlineStr">
        <is>
          <t>1949</t>
        </is>
      </c>
      <c r="O306" t="inlineStr">
        <is>
          <t>eng</t>
        </is>
      </c>
      <c r="P306" t="inlineStr">
        <is>
          <t>nyu</t>
        </is>
      </c>
      <c r="R306" t="inlineStr">
        <is>
          <t xml:space="preserve">QU </t>
        </is>
      </c>
      <c r="S306" t="n">
        <v>2</v>
      </c>
      <c r="T306" t="n">
        <v>2</v>
      </c>
      <c r="U306" t="inlineStr">
        <is>
          <t>1991-07-11</t>
        </is>
      </c>
      <c r="V306" t="inlineStr">
        <is>
          <t>1991-07-11</t>
        </is>
      </c>
      <c r="W306" t="inlineStr">
        <is>
          <t>1987-12-29</t>
        </is>
      </c>
      <c r="X306" t="inlineStr">
        <is>
          <t>1987-12-29</t>
        </is>
      </c>
      <c r="Y306" t="n">
        <v>229</v>
      </c>
      <c r="Z306" t="n">
        <v>165</v>
      </c>
      <c r="AA306" t="n">
        <v>192</v>
      </c>
      <c r="AB306" t="n">
        <v>1</v>
      </c>
      <c r="AC306" t="n">
        <v>1</v>
      </c>
      <c r="AD306" t="n">
        <v>7</v>
      </c>
      <c r="AE306" t="n">
        <v>7</v>
      </c>
      <c r="AF306" t="n">
        <v>2</v>
      </c>
      <c r="AG306" t="n">
        <v>2</v>
      </c>
      <c r="AH306" t="n">
        <v>1</v>
      </c>
      <c r="AI306" t="n">
        <v>1</v>
      </c>
      <c r="AJ306" t="n">
        <v>7</v>
      </c>
      <c r="AK306" t="n">
        <v>7</v>
      </c>
      <c r="AL306" t="n">
        <v>0</v>
      </c>
      <c r="AM306" t="n">
        <v>0</v>
      </c>
      <c r="AN306" t="n">
        <v>0</v>
      </c>
      <c r="AO306" t="n">
        <v>0</v>
      </c>
      <c r="AP306" t="inlineStr">
        <is>
          <t>No</t>
        </is>
      </c>
      <c r="AQ306" t="inlineStr">
        <is>
          <t>No</t>
        </is>
      </c>
      <c r="AR306">
        <f>HYPERLINK("http://catalog.hathitrust.org/Record/001553633","HathiTrust Record")</f>
        <v/>
      </c>
      <c r="AS306">
        <f>HYPERLINK("https://creighton-primo.hosted.exlibrisgroup.com/primo-explore/search?tab=default_tab&amp;search_scope=EVERYTHING&amp;vid=01CRU&amp;lang=en_US&amp;offset=0&amp;query=any,contains,991000903789702656","Catalog Record")</f>
        <v/>
      </c>
      <c r="AT306">
        <f>HYPERLINK("http://www.worldcat.org/oclc/1550810","WorldCat Record")</f>
        <v/>
      </c>
      <c r="AU306" t="inlineStr">
        <is>
          <t>365541170:eng</t>
        </is>
      </c>
      <c r="AV306" t="inlineStr">
        <is>
          <t>1550810</t>
        </is>
      </c>
      <c r="AW306" t="inlineStr">
        <is>
          <t>991000903789702656</t>
        </is>
      </c>
      <c r="AX306" t="inlineStr">
        <is>
          <t>991000903789702656</t>
        </is>
      </c>
      <c r="AY306" t="inlineStr">
        <is>
          <t>2262875570002656</t>
        </is>
      </c>
      <c r="AZ306" t="inlineStr">
        <is>
          <t>BOOK</t>
        </is>
      </c>
      <c r="BC306" t="inlineStr">
        <is>
          <t>30001000175341</t>
        </is>
      </c>
      <c r="BD306" t="inlineStr">
        <is>
          <t>893551908</t>
        </is>
      </c>
    </row>
    <row r="307">
      <c r="A307" t="inlineStr">
        <is>
          <t>No</t>
        </is>
      </c>
      <c r="B307" t="inlineStr">
        <is>
          <t>QU 105 M938f 1982</t>
        </is>
      </c>
      <c r="C307" t="inlineStr">
        <is>
          <t>0                      QU 0105000M  938f        1982</t>
        </is>
      </c>
      <c r="D307" t="inlineStr">
        <is>
          <t>Moyer's Fluid balance : a clinical manual.</t>
        </is>
      </c>
      <c r="F307" t="inlineStr">
        <is>
          <t>No</t>
        </is>
      </c>
      <c r="G307" t="inlineStr">
        <is>
          <t>1</t>
        </is>
      </c>
      <c r="H307" t="inlineStr">
        <is>
          <t>No</t>
        </is>
      </c>
      <c r="I307" t="inlineStr">
        <is>
          <t>No</t>
        </is>
      </c>
      <c r="J307" t="inlineStr">
        <is>
          <t>0</t>
        </is>
      </c>
      <c r="K307" t="inlineStr">
        <is>
          <t>Moyer, Carl A.</t>
        </is>
      </c>
      <c r="L307" t="inlineStr">
        <is>
          <t>Chicago : Year Book Medical Publishers, c1982.</t>
        </is>
      </c>
      <c r="M307" t="inlineStr">
        <is>
          <t>1982</t>
        </is>
      </c>
      <c r="N307" t="inlineStr">
        <is>
          <t>3rd ed. / John C. Vanatta, Morris J. Fogelman.</t>
        </is>
      </c>
      <c r="O307" t="inlineStr">
        <is>
          <t>eng</t>
        </is>
      </c>
      <c r="P307" t="inlineStr">
        <is>
          <t>xxu</t>
        </is>
      </c>
      <c r="R307" t="inlineStr">
        <is>
          <t xml:space="preserve">QU </t>
        </is>
      </c>
      <c r="S307" t="n">
        <v>11</v>
      </c>
      <c r="T307" t="n">
        <v>11</v>
      </c>
      <c r="U307" t="inlineStr">
        <is>
          <t>2010-10-06</t>
        </is>
      </c>
      <c r="V307" t="inlineStr">
        <is>
          <t>2010-10-06</t>
        </is>
      </c>
      <c r="W307" t="inlineStr">
        <is>
          <t>1988-01-28</t>
        </is>
      </c>
      <c r="X307" t="inlineStr">
        <is>
          <t>1988-01-28</t>
        </is>
      </c>
      <c r="Y307" t="n">
        <v>106</v>
      </c>
      <c r="Z307" t="n">
        <v>87</v>
      </c>
      <c r="AA307" t="n">
        <v>176</v>
      </c>
      <c r="AB307" t="n">
        <v>1</v>
      </c>
      <c r="AC307" t="n">
        <v>2</v>
      </c>
      <c r="AD307" t="n">
        <v>1</v>
      </c>
      <c r="AE307" t="n">
        <v>4</v>
      </c>
      <c r="AF307" t="n">
        <v>0</v>
      </c>
      <c r="AG307" t="n">
        <v>0</v>
      </c>
      <c r="AH307" t="n">
        <v>1</v>
      </c>
      <c r="AI307" t="n">
        <v>2</v>
      </c>
      <c r="AJ307" t="n">
        <v>0</v>
      </c>
      <c r="AK307" t="n">
        <v>2</v>
      </c>
      <c r="AL307" t="n">
        <v>0</v>
      </c>
      <c r="AM307" t="n">
        <v>1</v>
      </c>
      <c r="AN307" t="n">
        <v>0</v>
      </c>
      <c r="AO307" t="n">
        <v>0</v>
      </c>
      <c r="AP307" t="inlineStr">
        <is>
          <t>No</t>
        </is>
      </c>
      <c r="AQ307" t="inlineStr">
        <is>
          <t>Yes</t>
        </is>
      </c>
      <c r="AR307">
        <f>HYPERLINK("http://catalog.hathitrust.org/Record/000230592","HathiTrust Record")</f>
        <v/>
      </c>
      <c r="AS307">
        <f>HYPERLINK("https://creighton-primo.hosted.exlibrisgroup.com/primo-explore/search?tab=default_tab&amp;search_scope=EVERYTHING&amp;vid=01CRU&amp;lang=en_US&amp;offset=0&amp;query=any,contains,991000903709702656","Catalog Record")</f>
        <v/>
      </c>
      <c r="AT307">
        <f>HYPERLINK("http://www.worldcat.org/oclc/8195231","WorldCat Record")</f>
        <v/>
      </c>
      <c r="AU307" t="inlineStr">
        <is>
          <t>1902373:eng</t>
        </is>
      </c>
      <c r="AV307" t="inlineStr">
        <is>
          <t>8195231</t>
        </is>
      </c>
      <c r="AW307" t="inlineStr">
        <is>
          <t>991000903709702656</t>
        </is>
      </c>
      <c r="AX307" t="inlineStr">
        <is>
          <t>991000903709702656</t>
        </is>
      </c>
      <c r="AY307" t="inlineStr">
        <is>
          <t>2259594010002656</t>
        </is>
      </c>
      <c r="AZ307" t="inlineStr">
        <is>
          <t>BOOK</t>
        </is>
      </c>
      <c r="BB307" t="inlineStr">
        <is>
          <t>9780815189633</t>
        </is>
      </c>
      <c r="BC307" t="inlineStr">
        <is>
          <t>30001000175317</t>
        </is>
      </c>
      <c r="BD307" t="inlineStr">
        <is>
          <t>893120712</t>
        </is>
      </c>
    </row>
    <row r="308">
      <c r="A308" t="inlineStr">
        <is>
          <t>No</t>
        </is>
      </c>
      <c r="B308" t="inlineStr">
        <is>
          <t>QU 105 S435f 1980</t>
        </is>
      </c>
      <c r="C308" t="inlineStr">
        <is>
          <t>0                      QU 0105000S  435f        1980</t>
        </is>
      </c>
      <c r="D308" t="inlineStr">
        <is>
          <t>Fluids and electrolytes : a conceptual approach / Kinsey Smith ; edited by Elizabeth Brain.</t>
        </is>
      </c>
      <c r="F308" t="inlineStr">
        <is>
          <t>No</t>
        </is>
      </c>
      <c r="G308" t="inlineStr">
        <is>
          <t>1</t>
        </is>
      </c>
      <c r="H308" t="inlineStr">
        <is>
          <t>No</t>
        </is>
      </c>
      <c r="I308" t="inlineStr">
        <is>
          <t>No</t>
        </is>
      </c>
      <c r="J308" t="inlineStr">
        <is>
          <t>0</t>
        </is>
      </c>
      <c r="K308" t="inlineStr">
        <is>
          <t>Smith, Kinsey.</t>
        </is>
      </c>
      <c r="L308" t="inlineStr">
        <is>
          <t>New York : Churchill Livingstone, c1980.</t>
        </is>
      </c>
      <c r="M308" t="inlineStr">
        <is>
          <t>1980</t>
        </is>
      </c>
      <c r="O308" t="inlineStr">
        <is>
          <t>eng</t>
        </is>
      </c>
      <c r="P308" t="inlineStr">
        <is>
          <t xml:space="preserve">xx </t>
        </is>
      </c>
      <c r="R308" t="inlineStr">
        <is>
          <t xml:space="preserve">QU </t>
        </is>
      </c>
      <c r="S308" t="n">
        <v>14</v>
      </c>
      <c r="T308" t="n">
        <v>14</v>
      </c>
      <c r="U308" t="inlineStr">
        <is>
          <t>2000-06-07</t>
        </is>
      </c>
      <c r="V308" t="inlineStr">
        <is>
          <t>2000-06-07</t>
        </is>
      </c>
      <c r="W308" t="inlineStr">
        <is>
          <t>1988-01-28</t>
        </is>
      </c>
      <c r="X308" t="inlineStr">
        <is>
          <t>1988-01-28</t>
        </is>
      </c>
      <c r="Y308" t="n">
        <v>140</v>
      </c>
      <c r="Z308" t="n">
        <v>82</v>
      </c>
      <c r="AA308" t="n">
        <v>122</v>
      </c>
      <c r="AB308" t="n">
        <v>1</v>
      </c>
      <c r="AC308" t="n">
        <v>1</v>
      </c>
      <c r="AD308" t="n">
        <v>0</v>
      </c>
      <c r="AE308" t="n">
        <v>1</v>
      </c>
      <c r="AF308" t="n">
        <v>0</v>
      </c>
      <c r="AG308" t="n">
        <v>1</v>
      </c>
      <c r="AH308" t="n">
        <v>0</v>
      </c>
      <c r="AI308" t="n">
        <v>0</v>
      </c>
      <c r="AJ308" t="n">
        <v>0</v>
      </c>
      <c r="AK308" t="n">
        <v>1</v>
      </c>
      <c r="AL308" t="n">
        <v>0</v>
      </c>
      <c r="AM308" t="n">
        <v>0</v>
      </c>
      <c r="AN308" t="n">
        <v>0</v>
      </c>
      <c r="AO308" t="n">
        <v>0</v>
      </c>
      <c r="AP308" t="inlineStr">
        <is>
          <t>No</t>
        </is>
      </c>
      <c r="AQ308" t="inlineStr">
        <is>
          <t>Yes</t>
        </is>
      </c>
      <c r="AR308">
        <f>HYPERLINK("http://catalog.hathitrust.org/Record/102492449","HathiTrust Record")</f>
        <v/>
      </c>
      <c r="AS308">
        <f>HYPERLINK("https://creighton-primo.hosted.exlibrisgroup.com/primo-explore/search?tab=default_tab&amp;search_scope=EVERYTHING&amp;vid=01CRU&amp;lang=en_US&amp;offset=0&amp;query=any,contains,991000903629702656","Catalog Record")</f>
        <v/>
      </c>
      <c r="AT308">
        <f>HYPERLINK("http://www.worldcat.org/oclc/6092563","WorldCat Record")</f>
        <v/>
      </c>
      <c r="AU308" t="inlineStr">
        <is>
          <t>292559131:eng</t>
        </is>
      </c>
      <c r="AV308" t="inlineStr">
        <is>
          <t>6092563</t>
        </is>
      </c>
      <c r="AW308" t="inlineStr">
        <is>
          <t>991000903629702656</t>
        </is>
      </c>
      <c r="AX308" t="inlineStr">
        <is>
          <t>991000903629702656</t>
        </is>
      </c>
      <c r="AY308" t="inlineStr">
        <is>
          <t>2259529560002656</t>
        </is>
      </c>
      <c r="AZ308" t="inlineStr">
        <is>
          <t>BOOK</t>
        </is>
      </c>
      <c r="BB308" t="inlineStr">
        <is>
          <t>9780443081019</t>
        </is>
      </c>
      <c r="BC308" t="inlineStr">
        <is>
          <t>30001000175275</t>
        </is>
      </c>
      <c r="BD308" t="inlineStr">
        <is>
          <t>893455258</t>
        </is>
      </c>
    </row>
    <row r="309">
      <c r="A309" t="inlineStr">
        <is>
          <t>No</t>
        </is>
      </c>
      <c r="B309" t="inlineStr">
        <is>
          <t>QU 105 W324 1993</t>
        </is>
      </c>
      <c r="C309" t="inlineStr">
        <is>
          <t>0                      QU 0105000W  324         1993</t>
        </is>
      </c>
      <c r="D309" t="inlineStr">
        <is>
          <t>Water and biological macromolecules / edited by Eric Westhof.</t>
        </is>
      </c>
      <c r="F309" t="inlineStr">
        <is>
          <t>No</t>
        </is>
      </c>
      <c r="G309" t="inlineStr">
        <is>
          <t>1</t>
        </is>
      </c>
      <c r="H309" t="inlineStr">
        <is>
          <t>No</t>
        </is>
      </c>
      <c r="I309" t="inlineStr">
        <is>
          <t>No</t>
        </is>
      </c>
      <c r="J309" t="inlineStr">
        <is>
          <t>0</t>
        </is>
      </c>
      <c r="L309" t="inlineStr">
        <is>
          <t>Boca Raton, FL : CRC Press, c1993.</t>
        </is>
      </c>
      <c r="M309" t="inlineStr">
        <is>
          <t>1993</t>
        </is>
      </c>
      <c r="O309" t="inlineStr">
        <is>
          <t>eng</t>
        </is>
      </c>
      <c r="P309" t="inlineStr">
        <is>
          <t>flu</t>
        </is>
      </c>
      <c r="Q309" t="inlineStr">
        <is>
          <t>Topics in molecular and structural biology</t>
        </is>
      </c>
      <c r="R309" t="inlineStr">
        <is>
          <t xml:space="preserve">QU </t>
        </is>
      </c>
      <c r="S309" t="n">
        <v>4</v>
      </c>
      <c r="T309" t="n">
        <v>4</v>
      </c>
      <c r="U309" t="inlineStr">
        <is>
          <t>1999-03-03</t>
        </is>
      </c>
      <c r="V309" t="inlineStr">
        <is>
          <t>1999-03-03</t>
        </is>
      </c>
      <c r="W309" t="inlineStr">
        <is>
          <t>1993-09-10</t>
        </is>
      </c>
      <c r="X309" t="inlineStr">
        <is>
          <t>1993-09-10</t>
        </is>
      </c>
      <c r="Y309" t="n">
        <v>129</v>
      </c>
      <c r="Z309" t="n">
        <v>105</v>
      </c>
      <c r="AA309" t="n">
        <v>131</v>
      </c>
      <c r="AB309" t="n">
        <v>1</v>
      </c>
      <c r="AC309" t="n">
        <v>1</v>
      </c>
      <c r="AD309" t="n">
        <v>4</v>
      </c>
      <c r="AE309" t="n">
        <v>4</v>
      </c>
      <c r="AF309" t="n">
        <v>1</v>
      </c>
      <c r="AG309" t="n">
        <v>1</v>
      </c>
      <c r="AH309" t="n">
        <v>2</v>
      </c>
      <c r="AI309" t="n">
        <v>2</v>
      </c>
      <c r="AJ309" t="n">
        <v>2</v>
      </c>
      <c r="AK309" t="n">
        <v>2</v>
      </c>
      <c r="AL309" t="n">
        <v>0</v>
      </c>
      <c r="AM309" t="n">
        <v>0</v>
      </c>
      <c r="AN309" t="n">
        <v>0</v>
      </c>
      <c r="AO309" t="n">
        <v>0</v>
      </c>
      <c r="AP309" t="inlineStr">
        <is>
          <t>No</t>
        </is>
      </c>
      <c r="AQ309" t="inlineStr">
        <is>
          <t>Yes</t>
        </is>
      </c>
      <c r="AR309">
        <f>HYPERLINK("http://catalog.hathitrust.org/Record/002734062","HathiTrust Record")</f>
        <v/>
      </c>
      <c r="AS309">
        <f>HYPERLINK("https://creighton-primo.hosted.exlibrisgroup.com/primo-explore/search?tab=default_tab&amp;search_scope=EVERYTHING&amp;vid=01CRU&amp;lang=en_US&amp;offset=0&amp;query=any,contains,991001546889702656","Catalog Record")</f>
        <v/>
      </c>
      <c r="AT309">
        <f>HYPERLINK("http://www.worldcat.org/oclc/26853516","WorldCat Record")</f>
        <v/>
      </c>
      <c r="AU309" t="inlineStr">
        <is>
          <t>55644977:eng</t>
        </is>
      </c>
      <c r="AV309" t="inlineStr">
        <is>
          <t>26853516</t>
        </is>
      </c>
      <c r="AW309" t="inlineStr">
        <is>
          <t>991001546889702656</t>
        </is>
      </c>
      <c r="AX309" t="inlineStr">
        <is>
          <t>991001546889702656</t>
        </is>
      </c>
      <c r="AY309" t="inlineStr">
        <is>
          <t>2264371690002656</t>
        </is>
      </c>
      <c r="AZ309" t="inlineStr">
        <is>
          <t>BOOK</t>
        </is>
      </c>
      <c r="BB309" t="inlineStr">
        <is>
          <t>9780849375705</t>
        </is>
      </c>
      <c r="BC309" t="inlineStr">
        <is>
          <t>30001002643510</t>
        </is>
      </c>
      <c r="BD309" t="inlineStr">
        <is>
          <t>893732157</t>
        </is>
      </c>
    </row>
    <row r="310">
      <c r="A310" t="inlineStr">
        <is>
          <t>No</t>
        </is>
      </c>
      <c r="B310" t="inlineStr">
        <is>
          <t>QU 105 W464c 1955</t>
        </is>
      </c>
      <c r="C310" t="inlineStr">
        <is>
          <t>0                      QU 0105000W  464c        1955</t>
        </is>
      </c>
      <c r="D310" t="inlineStr">
        <is>
          <t>Clinical disorders of hydration and acid-base equilibrium.</t>
        </is>
      </c>
      <c r="F310" t="inlineStr">
        <is>
          <t>No</t>
        </is>
      </c>
      <c r="G310" t="inlineStr">
        <is>
          <t>1</t>
        </is>
      </c>
      <c r="H310" t="inlineStr">
        <is>
          <t>No</t>
        </is>
      </c>
      <c r="I310" t="inlineStr">
        <is>
          <t>No</t>
        </is>
      </c>
      <c r="J310" t="inlineStr">
        <is>
          <t>0</t>
        </is>
      </c>
      <c r="K310" t="inlineStr">
        <is>
          <t>Welt, Louis G.</t>
        </is>
      </c>
      <c r="L310" t="inlineStr">
        <is>
          <t>Boston : Little, Brown, [1955]</t>
        </is>
      </c>
      <c r="M310" t="inlineStr">
        <is>
          <t>1955</t>
        </is>
      </c>
      <c r="N310" t="inlineStr">
        <is>
          <t>[1st edition]</t>
        </is>
      </c>
      <c r="O310" t="inlineStr">
        <is>
          <t>eng</t>
        </is>
      </c>
      <c r="P310" t="inlineStr">
        <is>
          <t>mau</t>
        </is>
      </c>
      <c r="R310" t="inlineStr">
        <is>
          <t xml:space="preserve">QU </t>
        </is>
      </c>
      <c r="S310" t="n">
        <v>1</v>
      </c>
      <c r="T310" t="n">
        <v>1</v>
      </c>
      <c r="U310" t="inlineStr">
        <is>
          <t>1995-04-06</t>
        </is>
      </c>
      <c r="V310" t="inlineStr">
        <is>
          <t>1995-04-06</t>
        </is>
      </c>
      <c r="W310" t="inlineStr">
        <is>
          <t>1987-12-29</t>
        </is>
      </c>
      <c r="X310" t="inlineStr">
        <is>
          <t>1987-12-29</t>
        </is>
      </c>
      <c r="Y310" t="n">
        <v>66</v>
      </c>
      <c r="Z310" t="n">
        <v>58</v>
      </c>
      <c r="AA310" t="n">
        <v>88</v>
      </c>
      <c r="AB310" t="n">
        <v>1</v>
      </c>
      <c r="AC310" t="n">
        <v>1</v>
      </c>
      <c r="AD310" t="n">
        <v>0</v>
      </c>
      <c r="AE310" t="n">
        <v>0</v>
      </c>
      <c r="AF310" t="n">
        <v>0</v>
      </c>
      <c r="AG310" t="n">
        <v>0</v>
      </c>
      <c r="AH310" t="n">
        <v>0</v>
      </c>
      <c r="AI310" t="n">
        <v>0</v>
      </c>
      <c r="AJ310" t="n">
        <v>0</v>
      </c>
      <c r="AK310" t="n">
        <v>0</v>
      </c>
      <c r="AL310" t="n">
        <v>0</v>
      </c>
      <c r="AM310" t="n">
        <v>0</v>
      </c>
      <c r="AN310" t="n">
        <v>0</v>
      </c>
      <c r="AO310" t="n">
        <v>0</v>
      </c>
      <c r="AP310" t="inlineStr">
        <is>
          <t>No</t>
        </is>
      </c>
      <c r="AQ310" t="inlineStr">
        <is>
          <t>Yes</t>
        </is>
      </c>
      <c r="AR310">
        <f>HYPERLINK("http://catalog.hathitrust.org/Record/001561145","HathiTrust Record")</f>
        <v/>
      </c>
      <c r="AS310">
        <f>HYPERLINK("https://creighton-primo.hosted.exlibrisgroup.com/primo-explore/search?tab=default_tab&amp;search_scope=EVERYTHING&amp;vid=01CRU&amp;lang=en_US&amp;offset=0&amp;query=any,contains,991000903549702656","Catalog Record")</f>
        <v/>
      </c>
      <c r="AT310">
        <f>HYPERLINK("http://www.worldcat.org/oclc/3618216","WorldCat Record")</f>
        <v/>
      </c>
      <c r="AU310" t="inlineStr">
        <is>
          <t>2328080:eng</t>
        </is>
      </c>
      <c r="AV310" t="inlineStr">
        <is>
          <t>3618216</t>
        </is>
      </c>
      <c r="AW310" t="inlineStr">
        <is>
          <t>991000903549702656</t>
        </is>
      </c>
      <c r="AX310" t="inlineStr">
        <is>
          <t>991000903549702656</t>
        </is>
      </c>
      <c r="AY310" t="inlineStr">
        <is>
          <t>2270222460002656</t>
        </is>
      </c>
      <c r="AZ310" t="inlineStr">
        <is>
          <t>BOOK</t>
        </is>
      </c>
      <c r="BC310" t="inlineStr">
        <is>
          <t>30001000175259</t>
        </is>
      </c>
      <c r="BD310" t="inlineStr">
        <is>
          <t>893284107</t>
        </is>
      </c>
    </row>
    <row r="311">
      <c r="A311" t="inlineStr">
        <is>
          <t>No</t>
        </is>
      </c>
      <c r="B311" t="inlineStr">
        <is>
          <t>QU 107 A588 2009</t>
        </is>
      </c>
      <c r="C311" t="inlineStr">
        <is>
          <t>0                      QU 0107000A  588         2009</t>
        </is>
      </c>
      <c r="D311" t="inlineStr">
        <is>
          <t>Angiogenesis protocols.</t>
        </is>
      </c>
      <c r="F311" t="inlineStr">
        <is>
          <t>No</t>
        </is>
      </c>
      <c r="G311" t="inlineStr">
        <is>
          <t>1</t>
        </is>
      </c>
      <c r="H311" t="inlineStr">
        <is>
          <t>No</t>
        </is>
      </c>
      <c r="I311" t="inlineStr">
        <is>
          <t>No</t>
        </is>
      </c>
      <c r="J311" t="inlineStr">
        <is>
          <t>0</t>
        </is>
      </c>
      <c r="L311" t="inlineStr">
        <is>
          <t>New York : Humana ; London : Springer [distributor], c2009.</t>
        </is>
      </c>
      <c r="M311" t="inlineStr">
        <is>
          <t>2009</t>
        </is>
      </c>
      <c r="N311" t="inlineStr">
        <is>
          <t>2nd ed. / edited by Stewart Martin, Cliff Murray.</t>
        </is>
      </c>
      <c r="O311" t="inlineStr">
        <is>
          <t>eng</t>
        </is>
      </c>
      <c r="P311" t="inlineStr">
        <is>
          <t>nyu</t>
        </is>
      </c>
      <c r="Q311" t="inlineStr">
        <is>
          <t>Methods in molecular biology ; 467</t>
        </is>
      </c>
      <c r="R311" t="inlineStr">
        <is>
          <t xml:space="preserve">QU </t>
        </is>
      </c>
      <c r="S311" t="n">
        <v>0</v>
      </c>
      <c r="T311" t="n">
        <v>0</v>
      </c>
      <c r="U311" t="inlineStr">
        <is>
          <t>2009-06-30</t>
        </is>
      </c>
      <c r="V311" t="inlineStr">
        <is>
          <t>2009-06-30</t>
        </is>
      </c>
      <c r="W311" t="inlineStr">
        <is>
          <t>2009-06-29</t>
        </is>
      </c>
      <c r="X311" t="inlineStr">
        <is>
          <t>2009-06-29</t>
        </is>
      </c>
      <c r="Y311" t="n">
        <v>104</v>
      </c>
      <c r="Z311" t="n">
        <v>82</v>
      </c>
      <c r="AA311" t="n">
        <v>140</v>
      </c>
      <c r="AB311" t="n">
        <v>1</v>
      </c>
      <c r="AC311" t="n">
        <v>3</v>
      </c>
      <c r="AD311" t="n">
        <v>2</v>
      </c>
      <c r="AE311" t="n">
        <v>5</v>
      </c>
      <c r="AF311" t="n">
        <v>0</v>
      </c>
      <c r="AG311" t="n">
        <v>1</v>
      </c>
      <c r="AH311" t="n">
        <v>0</v>
      </c>
      <c r="AI311" t="n">
        <v>0</v>
      </c>
      <c r="AJ311" t="n">
        <v>2</v>
      </c>
      <c r="AK311" t="n">
        <v>2</v>
      </c>
      <c r="AL311" t="n">
        <v>0</v>
      </c>
      <c r="AM311" t="n">
        <v>2</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HYPERLINK("https://creighton-primo.hosted.exlibrisgroup.com/primo-explore/search?tab=default_tab&amp;search_scope=EVERYTHING&amp;vid=01CRU&amp;lang=en_US&amp;offset=0&amp;query=any,contains,991001475039702656","Catalog Record")</f>
        <v/>
      </c>
      <c r="AT311">
        <f>HYPERLINK("http://www.worldcat.org/oclc/166372380","WorldCat Record")</f>
        <v/>
      </c>
      <c r="AU311" t="inlineStr">
        <is>
          <t>866291947:eng</t>
        </is>
      </c>
      <c r="AV311" t="inlineStr">
        <is>
          <t>166372380</t>
        </is>
      </c>
      <c r="AW311" t="inlineStr">
        <is>
          <t>991001475039702656</t>
        </is>
      </c>
      <c r="AX311" t="inlineStr">
        <is>
          <t>991001475039702656</t>
        </is>
      </c>
      <c r="AY311" t="inlineStr">
        <is>
          <t>2269381010002656</t>
        </is>
      </c>
      <c r="AZ311" t="inlineStr">
        <is>
          <t>BOOK</t>
        </is>
      </c>
      <c r="BB311" t="inlineStr">
        <is>
          <t>9781588299079</t>
        </is>
      </c>
      <c r="BC311" t="inlineStr">
        <is>
          <t>30001004917961</t>
        </is>
      </c>
      <c r="BD311" t="inlineStr">
        <is>
          <t>893638343</t>
        </is>
      </c>
    </row>
    <row r="312">
      <c r="A312" t="inlineStr">
        <is>
          <t>No</t>
        </is>
      </c>
      <c r="B312" t="inlineStr">
        <is>
          <t>QU107 I237 2005</t>
        </is>
      </c>
      <c r="C312" t="inlineStr">
        <is>
          <t>0                      QU 0107000I  237         2005</t>
        </is>
      </c>
      <c r="D312" t="inlineStr">
        <is>
          <t>IGF and nutrition in health and disease / edited by M. Sue Houston, Jeffrey M.P. Holly, Eva L. Feldman.</t>
        </is>
      </c>
      <c r="F312" t="inlineStr">
        <is>
          <t>No</t>
        </is>
      </c>
      <c r="G312" t="inlineStr">
        <is>
          <t>1</t>
        </is>
      </c>
      <c r="H312" t="inlineStr">
        <is>
          <t>No</t>
        </is>
      </c>
      <c r="I312" t="inlineStr">
        <is>
          <t>No</t>
        </is>
      </c>
      <c r="J312" t="inlineStr">
        <is>
          <t>0</t>
        </is>
      </c>
      <c r="L312" t="inlineStr">
        <is>
          <t>Totowa, N.J. : Humana Press, c2005.</t>
        </is>
      </c>
      <c r="M312" t="inlineStr">
        <is>
          <t>2005</t>
        </is>
      </c>
      <c r="O312" t="inlineStr">
        <is>
          <t>eng</t>
        </is>
      </c>
      <c r="P312" t="inlineStr">
        <is>
          <t>nju</t>
        </is>
      </c>
      <c r="Q312" t="inlineStr">
        <is>
          <t>Nutrition and health</t>
        </is>
      </c>
      <c r="R312" t="inlineStr">
        <is>
          <t xml:space="preserve">QU </t>
        </is>
      </c>
      <c r="S312" t="n">
        <v>0</v>
      </c>
      <c r="T312" t="n">
        <v>0</v>
      </c>
      <c r="U312" t="inlineStr">
        <is>
          <t>2005-10-13</t>
        </is>
      </c>
      <c r="V312" t="inlineStr">
        <is>
          <t>2005-10-13</t>
        </is>
      </c>
      <c r="W312" t="inlineStr">
        <is>
          <t>2005-10-11</t>
        </is>
      </c>
      <c r="X312" t="inlineStr">
        <is>
          <t>2005-10-11</t>
        </is>
      </c>
      <c r="Y312" t="n">
        <v>116</v>
      </c>
      <c r="Z312" t="n">
        <v>80</v>
      </c>
      <c r="AA312" t="n">
        <v>120</v>
      </c>
      <c r="AB312" t="n">
        <v>2</v>
      </c>
      <c r="AC312" t="n">
        <v>2</v>
      </c>
      <c r="AD312" t="n">
        <v>4</v>
      </c>
      <c r="AE312" t="n">
        <v>6</v>
      </c>
      <c r="AF312" t="n">
        <v>1</v>
      </c>
      <c r="AG312" t="n">
        <v>2</v>
      </c>
      <c r="AH312" t="n">
        <v>2</v>
      </c>
      <c r="AI312" t="n">
        <v>2</v>
      </c>
      <c r="AJ312" t="n">
        <v>1</v>
      </c>
      <c r="AK312" t="n">
        <v>3</v>
      </c>
      <c r="AL312" t="n">
        <v>1</v>
      </c>
      <c r="AM312" t="n">
        <v>1</v>
      </c>
      <c r="AN312" t="n">
        <v>0</v>
      </c>
      <c r="AO312" t="n">
        <v>0</v>
      </c>
      <c r="AP312" t="inlineStr">
        <is>
          <t>No</t>
        </is>
      </c>
      <c r="AQ312" t="inlineStr">
        <is>
          <t>Yes</t>
        </is>
      </c>
      <c r="AR312">
        <f>HYPERLINK("http://catalog.hathitrust.org/Record/004913824","HathiTrust Record")</f>
        <v/>
      </c>
      <c r="AS312">
        <f>HYPERLINK("https://creighton-primo.hosted.exlibrisgroup.com/primo-explore/search?tab=default_tab&amp;search_scope=EVERYTHING&amp;vid=01CRU&amp;lang=en_US&amp;offset=0&amp;query=any,contains,991000445629702656","Catalog Record")</f>
        <v/>
      </c>
      <c r="AT312">
        <f>HYPERLINK("http://www.worldcat.org/oclc/54966665","WorldCat Record")</f>
        <v/>
      </c>
      <c r="AU312" t="inlineStr">
        <is>
          <t>509846045:eng</t>
        </is>
      </c>
      <c r="AV312" t="inlineStr">
        <is>
          <t>54966665</t>
        </is>
      </c>
      <c r="AW312" t="inlineStr">
        <is>
          <t>991000445629702656</t>
        </is>
      </c>
      <c r="AX312" t="inlineStr">
        <is>
          <t>991000445629702656</t>
        </is>
      </c>
      <c r="AY312" t="inlineStr">
        <is>
          <t>2255599550002656</t>
        </is>
      </c>
      <c r="AZ312" t="inlineStr">
        <is>
          <t>BOOK</t>
        </is>
      </c>
      <c r="BB312" t="inlineStr">
        <is>
          <t>9781588291905</t>
        </is>
      </c>
      <c r="BC312" t="inlineStr">
        <is>
          <t>30001004913713</t>
        </is>
      </c>
      <c r="BD312" t="inlineStr">
        <is>
          <t>893733000</t>
        </is>
      </c>
    </row>
    <row r="313">
      <c r="A313" t="inlineStr">
        <is>
          <t>No</t>
        </is>
      </c>
      <c r="B313" t="inlineStr">
        <is>
          <t>QU 110 L764 1987</t>
        </is>
      </c>
      <c r="C313" t="inlineStr">
        <is>
          <t>0                      QU 0110000L  764         1987</t>
        </is>
      </c>
      <c r="D313" t="inlineStr">
        <is>
          <t>Lipofuscin--1987 : state of the art : proceedings of an international symposium held in Debrecen, Hungary, on 26-30 August, 1987 / editor, Imre Zs.-Nagy.</t>
        </is>
      </c>
      <c r="F313" t="inlineStr">
        <is>
          <t>No</t>
        </is>
      </c>
      <c r="G313" t="inlineStr">
        <is>
          <t>1</t>
        </is>
      </c>
      <c r="H313" t="inlineStr">
        <is>
          <t>No</t>
        </is>
      </c>
      <c r="I313" t="inlineStr">
        <is>
          <t>No</t>
        </is>
      </c>
      <c r="J313" t="inlineStr">
        <is>
          <t>0</t>
        </is>
      </c>
      <c r="L313" t="inlineStr">
        <is>
          <t>Amsterdam ; New York : Elsevier Science Publishers ; Budapest : Akadémiai Kiadó ; New York, N.Y. : Elsevier Science Pub. Co. [distributor], c1987.</t>
        </is>
      </c>
      <c r="M313" t="inlineStr">
        <is>
          <t>1987</t>
        </is>
      </c>
      <c r="O313" t="inlineStr">
        <is>
          <t>eng</t>
        </is>
      </c>
      <c r="P313" t="inlineStr">
        <is>
          <t xml:space="preserve">ne </t>
        </is>
      </c>
      <c r="Q313" t="inlineStr">
        <is>
          <t>International congress series ; no. 782</t>
        </is>
      </c>
      <c r="R313" t="inlineStr">
        <is>
          <t xml:space="preserve">QU </t>
        </is>
      </c>
      <c r="S313" t="n">
        <v>5</v>
      </c>
      <c r="T313" t="n">
        <v>5</v>
      </c>
      <c r="U313" t="inlineStr">
        <is>
          <t>1992-08-11</t>
        </is>
      </c>
      <c r="V313" t="inlineStr">
        <is>
          <t>1992-08-11</t>
        </is>
      </c>
      <c r="W313" t="inlineStr">
        <is>
          <t>1988-06-22</t>
        </is>
      </c>
      <c r="X313" t="inlineStr">
        <is>
          <t>1988-06-22</t>
        </is>
      </c>
      <c r="Y313" t="n">
        <v>102</v>
      </c>
      <c r="Z313" t="n">
        <v>86</v>
      </c>
      <c r="AA313" t="n">
        <v>90</v>
      </c>
      <c r="AB313" t="n">
        <v>1</v>
      </c>
      <c r="AC313" t="n">
        <v>1</v>
      </c>
      <c r="AD313" t="n">
        <v>0</v>
      </c>
      <c r="AE313" t="n">
        <v>0</v>
      </c>
      <c r="AF313" t="n">
        <v>0</v>
      </c>
      <c r="AG313" t="n">
        <v>0</v>
      </c>
      <c r="AH313" t="n">
        <v>0</v>
      </c>
      <c r="AI313" t="n">
        <v>0</v>
      </c>
      <c r="AJ313" t="n">
        <v>0</v>
      </c>
      <c r="AK313" t="n">
        <v>0</v>
      </c>
      <c r="AL313" t="n">
        <v>0</v>
      </c>
      <c r="AM313" t="n">
        <v>0</v>
      </c>
      <c r="AN313" t="n">
        <v>0</v>
      </c>
      <c r="AO313" t="n">
        <v>0</v>
      </c>
      <c r="AP313" t="inlineStr">
        <is>
          <t>No</t>
        </is>
      </c>
      <c r="AQ313" t="inlineStr">
        <is>
          <t>Yes</t>
        </is>
      </c>
      <c r="AR313">
        <f>HYPERLINK("http://catalog.hathitrust.org/Record/000907796","HathiTrust Record")</f>
        <v/>
      </c>
      <c r="AS313">
        <f>HYPERLINK("https://creighton-primo.hosted.exlibrisgroup.com/primo-explore/search?tab=default_tab&amp;search_scope=EVERYTHING&amp;vid=01CRU&amp;lang=en_US&amp;offset=0&amp;query=any,contains,991001415999702656","Catalog Record")</f>
        <v/>
      </c>
      <c r="AT313">
        <f>HYPERLINK("http://www.worldcat.org/oclc/17231244","WorldCat Record")</f>
        <v/>
      </c>
      <c r="AU313" t="inlineStr">
        <is>
          <t>502251645:eng</t>
        </is>
      </c>
      <c r="AV313" t="inlineStr">
        <is>
          <t>17231244</t>
        </is>
      </c>
      <c r="AW313" t="inlineStr">
        <is>
          <t>991001415999702656</t>
        </is>
      </c>
      <c r="AX313" t="inlineStr">
        <is>
          <t>991001415999702656</t>
        </is>
      </c>
      <c r="AY313" t="inlineStr">
        <is>
          <t>2258960490002656</t>
        </is>
      </c>
      <c r="AZ313" t="inlineStr">
        <is>
          <t>BOOK</t>
        </is>
      </c>
      <c r="BB313" t="inlineStr">
        <is>
          <t>9780444809568</t>
        </is>
      </c>
      <c r="BC313" t="inlineStr">
        <is>
          <t>30001001180555</t>
        </is>
      </c>
      <c r="BD313" t="inlineStr">
        <is>
          <t>893358562</t>
        </is>
      </c>
    </row>
    <row r="314">
      <c r="A314" t="inlineStr">
        <is>
          <t>No</t>
        </is>
      </c>
      <c r="B314" t="inlineStr">
        <is>
          <t>QU 120 B615 1999</t>
        </is>
      </c>
      <c r="C314" t="inlineStr">
        <is>
          <t>0                      QU 0120000B  615         1999</t>
        </is>
      </c>
      <c r="D314" t="inlineStr">
        <is>
          <t>Biochemical pathways : an atlas of biochemistry and molecular biology / edited by Gerhard Michal.</t>
        </is>
      </c>
      <c r="F314" t="inlineStr">
        <is>
          <t>No</t>
        </is>
      </c>
      <c r="G314" t="inlineStr">
        <is>
          <t>1</t>
        </is>
      </c>
      <c r="H314" t="inlineStr">
        <is>
          <t>No</t>
        </is>
      </c>
      <c r="I314" t="inlineStr">
        <is>
          <t>No</t>
        </is>
      </c>
      <c r="J314" t="inlineStr">
        <is>
          <t>0</t>
        </is>
      </c>
      <c r="L314" t="inlineStr">
        <is>
          <t>New York : Wiley ; Heidelberg : Spektrum, c1999.</t>
        </is>
      </c>
      <c r="M314" t="inlineStr">
        <is>
          <t>1999</t>
        </is>
      </c>
      <c r="N314" t="inlineStr">
        <is>
          <t>English language ed.</t>
        </is>
      </c>
      <c r="O314" t="inlineStr">
        <is>
          <t>eng</t>
        </is>
      </c>
      <c r="P314" t="inlineStr">
        <is>
          <t>nyu</t>
        </is>
      </c>
      <c r="R314" t="inlineStr">
        <is>
          <t xml:space="preserve">QU </t>
        </is>
      </c>
      <c r="S314" t="n">
        <v>16</v>
      </c>
      <c r="T314" t="n">
        <v>16</v>
      </c>
      <c r="U314" t="inlineStr">
        <is>
          <t>2004-02-18</t>
        </is>
      </c>
      <c r="V314" t="inlineStr">
        <is>
          <t>2004-02-18</t>
        </is>
      </c>
      <c r="W314" t="inlineStr">
        <is>
          <t>1999-05-07</t>
        </is>
      </c>
      <c r="X314" t="inlineStr">
        <is>
          <t>1999-05-07</t>
        </is>
      </c>
      <c r="Y314" t="n">
        <v>667</v>
      </c>
      <c r="Z314" t="n">
        <v>531</v>
      </c>
      <c r="AA314" t="n">
        <v>825</v>
      </c>
      <c r="AB314" t="n">
        <v>5</v>
      </c>
      <c r="AC314" t="n">
        <v>7</v>
      </c>
      <c r="AD314" t="n">
        <v>28</v>
      </c>
      <c r="AE314" t="n">
        <v>41</v>
      </c>
      <c r="AF314" t="n">
        <v>11</v>
      </c>
      <c r="AG314" t="n">
        <v>17</v>
      </c>
      <c r="AH314" t="n">
        <v>6</v>
      </c>
      <c r="AI314" t="n">
        <v>8</v>
      </c>
      <c r="AJ314" t="n">
        <v>15</v>
      </c>
      <c r="AK314" t="n">
        <v>19</v>
      </c>
      <c r="AL314" t="n">
        <v>4</v>
      </c>
      <c r="AM314" t="n">
        <v>6</v>
      </c>
      <c r="AN314" t="n">
        <v>0</v>
      </c>
      <c r="AO314" t="n">
        <v>0</v>
      </c>
      <c r="AP314" t="inlineStr">
        <is>
          <t>No</t>
        </is>
      </c>
      <c r="AQ314" t="inlineStr">
        <is>
          <t>Yes</t>
        </is>
      </c>
      <c r="AR314">
        <f>HYPERLINK("http://catalog.hathitrust.org/Record/004026056","HathiTrust Record")</f>
        <v/>
      </c>
      <c r="AS314">
        <f>HYPERLINK("https://creighton-primo.hosted.exlibrisgroup.com/primo-explore/search?tab=default_tab&amp;search_scope=EVERYTHING&amp;vid=01CRU&amp;lang=en_US&amp;offset=0&amp;query=any,contains,991000504069702656","Catalog Record")</f>
        <v/>
      </c>
      <c r="AT314">
        <f>HYPERLINK("http://www.worldcat.org/oclc/40073831","WorldCat Record")</f>
        <v/>
      </c>
      <c r="AU314" t="inlineStr">
        <is>
          <t>806800507:eng</t>
        </is>
      </c>
      <c r="AV314" t="inlineStr">
        <is>
          <t>40073831</t>
        </is>
      </c>
      <c r="AW314" t="inlineStr">
        <is>
          <t>991000504069702656</t>
        </is>
      </c>
      <c r="AX314" t="inlineStr">
        <is>
          <t>991000504069702656</t>
        </is>
      </c>
      <c r="AY314" t="inlineStr">
        <is>
          <t>2263045980002656</t>
        </is>
      </c>
      <c r="AZ314" t="inlineStr">
        <is>
          <t>BOOK</t>
        </is>
      </c>
      <c r="BB314" t="inlineStr">
        <is>
          <t>9780471331308</t>
        </is>
      </c>
      <c r="BC314" t="inlineStr">
        <is>
          <t>30001004073450</t>
        </is>
      </c>
      <c r="BD314" t="inlineStr">
        <is>
          <t>893452468</t>
        </is>
      </c>
    </row>
    <row r="315">
      <c r="A315" t="inlineStr">
        <is>
          <t>No</t>
        </is>
      </c>
      <c r="B315" t="inlineStr">
        <is>
          <t>QU 120 B616 1989</t>
        </is>
      </c>
      <c r="C315" t="inlineStr">
        <is>
          <t>0                      QU 0120000B  616         1989</t>
        </is>
      </c>
      <c r="D315" t="inlineStr">
        <is>
          <t>Biotransformations : a survey of the biotransformations of drugs and chemicals in animals : Volume 2 / edited by D.R. Hawkins.</t>
        </is>
      </c>
      <c r="E315" t="inlineStr">
        <is>
          <t>V. 2</t>
        </is>
      </c>
      <c r="F315" t="inlineStr">
        <is>
          <t>No</t>
        </is>
      </c>
      <c r="G315" t="inlineStr">
        <is>
          <t>1</t>
        </is>
      </c>
      <c r="H315" t="inlineStr">
        <is>
          <t>No</t>
        </is>
      </c>
      <c r="I315" t="inlineStr">
        <is>
          <t>No</t>
        </is>
      </c>
      <c r="J315" t="inlineStr">
        <is>
          <t>0</t>
        </is>
      </c>
      <c r="L315" t="inlineStr">
        <is>
          <t>Cambridge, G.B. : Royal Society of Chemistry, c1989.</t>
        </is>
      </c>
      <c r="M315" t="inlineStr">
        <is>
          <t>1989</t>
        </is>
      </c>
      <c r="O315" t="inlineStr">
        <is>
          <t>eng</t>
        </is>
      </c>
      <c r="P315" t="inlineStr">
        <is>
          <t>enk</t>
        </is>
      </c>
      <c r="R315" t="inlineStr">
        <is>
          <t xml:space="preserve">QU </t>
        </is>
      </c>
      <c r="S315" t="n">
        <v>2</v>
      </c>
      <c r="T315" t="n">
        <v>2</v>
      </c>
      <c r="U315" t="inlineStr">
        <is>
          <t>1990-10-10</t>
        </is>
      </c>
      <c r="V315" t="inlineStr">
        <is>
          <t>1990-10-10</t>
        </is>
      </c>
      <c r="W315" t="inlineStr">
        <is>
          <t>1990-10-10</t>
        </is>
      </c>
      <c r="X315" t="inlineStr">
        <is>
          <t>1990-10-10</t>
        </is>
      </c>
      <c r="Y315" t="n">
        <v>69</v>
      </c>
      <c r="Z315" t="n">
        <v>55</v>
      </c>
      <c r="AA315" t="n">
        <v>168</v>
      </c>
      <c r="AB315" t="n">
        <v>1</v>
      </c>
      <c r="AC315" t="n">
        <v>2</v>
      </c>
      <c r="AD315" t="n">
        <v>0</v>
      </c>
      <c r="AE315" t="n">
        <v>3</v>
      </c>
      <c r="AF315" t="n">
        <v>0</v>
      </c>
      <c r="AG315" t="n">
        <v>0</v>
      </c>
      <c r="AH315" t="n">
        <v>0</v>
      </c>
      <c r="AI315" t="n">
        <v>1</v>
      </c>
      <c r="AJ315" t="n">
        <v>0</v>
      </c>
      <c r="AK315" t="n">
        <v>2</v>
      </c>
      <c r="AL315" t="n">
        <v>0</v>
      </c>
      <c r="AM315" t="n">
        <v>1</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HYPERLINK("https://creighton-primo.hosted.exlibrisgroup.com/primo-explore/search?tab=default_tab&amp;search_scope=EVERYTHING&amp;vid=01CRU&amp;lang=en_US&amp;offset=0&amp;query=any,contains,991000769409702656","Catalog Record")</f>
        <v/>
      </c>
      <c r="AT315">
        <f>HYPERLINK("http://www.worldcat.org/oclc/18741371","WorldCat Record")</f>
        <v/>
      </c>
      <c r="AU315" t="inlineStr">
        <is>
          <t>836737771:eng</t>
        </is>
      </c>
      <c r="AV315" t="inlineStr">
        <is>
          <t>18741371</t>
        </is>
      </c>
      <c r="AW315" t="inlineStr">
        <is>
          <t>991000769409702656</t>
        </is>
      </c>
      <c r="AX315" t="inlineStr">
        <is>
          <t>991000769409702656</t>
        </is>
      </c>
      <c r="AY315" t="inlineStr">
        <is>
          <t>2256335480002656</t>
        </is>
      </c>
      <c r="AZ315" t="inlineStr">
        <is>
          <t>BOOK</t>
        </is>
      </c>
      <c r="BB315" t="inlineStr">
        <is>
          <t>9780851861579</t>
        </is>
      </c>
      <c r="BC315" t="inlineStr">
        <is>
          <t>30001002061747</t>
        </is>
      </c>
      <c r="BD315" t="inlineStr">
        <is>
          <t>893467560</t>
        </is>
      </c>
    </row>
    <row r="316">
      <c r="A316" t="inlineStr">
        <is>
          <t>No</t>
        </is>
      </c>
      <c r="B316" t="inlineStr">
        <is>
          <t>QU 120 D234i 2010</t>
        </is>
      </c>
      <c r="C316" t="inlineStr">
        <is>
          <t>0                      QU 0120000D  234i        2010</t>
        </is>
      </c>
      <c r="D316" t="inlineStr">
        <is>
          <t>An introduction to modeling of transport processes : applications to biomedical systems / Ashim Datta and Vineet Rakesh.</t>
        </is>
      </c>
      <c r="E316" t="inlineStr">
        <is>
          <t>QU 120 D234i 2010</t>
        </is>
      </c>
      <c r="F316" t="inlineStr">
        <is>
          <t>No</t>
        </is>
      </c>
      <c r="G316" t="inlineStr">
        <is>
          <t>1</t>
        </is>
      </c>
      <c r="H316" t="inlineStr">
        <is>
          <t>No</t>
        </is>
      </c>
      <c r="I316" t="inlineStr">
        <is>
          <t>No</t>
        </is>
      </c>
      <c r="J316" t="inlineStr">
        <is>
          <t>1</t>
        </is>
      </c>
      <c r="K316" t="inlineStr">
        <is>
          <t>Datta, Ashim K.</t>
        </is>
      </c>
      <c r="L316" t="inlineStr">
        <is>
          <t>Cambridge, UK ; New York : Cambridge University Press, 2010.</t>
        </is>
      </c>
      <c r="M316" t="inlineStr">
        <is>
          <t>2010</t>
        </is>
      </c>
      <c r="O316" t="inlineStr">
        <is>
          <t>eng</t>
        </is>
      </c>
      <c r="P316" t="inlineStr">
        <is>
          <t>enk</t>
        </is>
      </c>
      <c r="Q316" t="inlineStr">
        <is>
          <t>Cambridge texts in biomedical engineering</t>
        </is>
      </c>
      <c r="R316" t="inlineStr">
        <is>
          <t xml:space="preserve">QU </t>
        </is>
      </c>
      <c r="S316" t="n">
        <v>0</v>
      </c>
      <c r="T316" t="n">
        <v>0</v>
      </c>
      <c r="U316" t="inlineStr">
        <is>
          <t>2010-09-10</t>
        </is>
      </c>
      <c r="V316" t="inlineStr">
        <is>
          <t>2010-09-10</t>
        </is>
      </c>
      <c r="W316" t="inlineStr">
        <is>
          <t>2010-09-10</t>
        </is>
      </c>
      <c r="X316" t="inlineStr">
        <is>
          <t>2010-09-10</t>
        </is>
      </c>
      <c r="Y316" t="n">
        <v>139</v>
      </c>
      <c r="Z316" t="n">
        <v>87</v>
      </c>
      <c r="AA316" t="n">
        <v>672</v>
      </c>
      <c r="AB316" t="n">
        <v>3</v>
      </c>
      <c r="AC316" t="n">
        <v>13</v>
      </c>
      <c r="AD316" t="n">
        <v>3</v>
      </c>
      <c r="AE316" t="n">
        <v>31</v>
      </c>
      <c r="AF316" t="n">
        <v>0</v>
      </c>
      <c r="AG316" t="n">
        <v>8</v>
      </c>
      <c r="AH316" t="n">
        <v>0</v>
      </c>
      <c r="AI316" t="n">
        <v>7</v>
      </c>
      <c r="AJ316" t="n">
        <v>1</v>
      </c>
      <c r="AK316" t="n">
        <v>9</v>
      </c>
      <c r="AL316" t="n">
        <v>2</v>
      </c>
      <c r="AM316" t="n">
        <v>11</v>
      </c>
      <c r="AN316" t="n">
        <v>0</v>
      </c>
      <c r="AO316" t="n">
        <v>1</v>
      </c>
      <c r="AP316" t="inlineStr">
        <is>
          <t>No</t>
        </is>
      </c>
      <c r="AQ316" t="inlineStr">
        <is>
          <t>No</t>
        </is>
      </c>
      <c r="AS316">
        <f>HYPERLINK("https://creighton-primo.hosted.exlibrisgroup.com/primo-explore/search?tab=default_tab&amp;search_scope=EVERYTHING&amp;vid=01CRU&amp;lang=en_US&amp;offset=0&amp;query=any,contains,991000031539702656","Catalog Record")</f>
        <v/>
      </c>
      <c r="AT316">
        <f>HYPERLINK("http://www.worldcat.org/oclc/435728270","WorldCat Record")</f>
        <v/>
      </c>
      <c r="AU316" t="inlineStr">
        <is>
          <t>793953122:eng</t>
        </is>
      </c>
      <c r="AV316" t="inlineStr">
        <is>
          <t>435728270</t>
        </is>
      </c>
      <c r="AW316" t="inlineStr">
        <is>
          <t>991000031539702656</t>
        </is>
      </c>
      <c r="AX316" t="inlineStr">
        <is>
          <t>991000031539702656</t>
        </is>
      </c>
      <c r="AY316" t="inlineStr">
        <is>
          <t>2267794480002656</t>
        </is>
      </c>
      <c r="AZ316" t="inlineStr">
        <is>
          <t>BOOK</t>
        </is>
      </c>
      <c r="BB316" t="inlineStr">
        <is>
          <t>9780521119245</t>
        </is>
      </c>
      <c r="BC316" t="inlineStr">
        <is>
          <t>30001005347721</t>
        </is>
      </c>
      <c r="BD316" t="inlineStr">
        <is>
          <t>893375382</t>
        </is>
      </c>
    </row>
    <row r="317">
      <c r="A317" t="inlineStr">
        <is>
          <t>No</t>
        </is>
      </c>
      <c r="B317" t="inlineStr">
        <is>
          <t>QU 120 E61 1980</t>
        </is>
      </c>
      <c r="C317" t="inlineStr">
        <is>
          <t>0                      QU 0120000E  61          1980</t>
        </is>
      </c>
      <c r="D317" t="inlineStr">
        <is>
          <t>Enzymatic basis of detoxication / edited by William B. Jakoby.</t>
        </is>
      </c>
      <c r="E317" t="inlineStr">
        <is>
          <t>V. 2</t>
        </is>
      </c>
      <c r="F317" t="inlineStr">
        <is>
          <t>Yes</t>
        </is>
      </c>
      <c r="G317" t="inlineStr">
        <is>
          <t>1</t>
        </is>
      </c>
      <c r="H317" t="inlineStr">
        <is>
          <t>No</t>
        </is>
      </c>
      <c r="I317" t="inlineStr">
        <is>
          <t>No</t>
        </is>
      </c>
      <c r="J317" t="inlineStr">
        <is>
          <t>0</t>
        </is>
      </c>
      <c r="L317" t="inlineStr">
        <is>
          <t>New York : Academic Press, 1980.</t>
        </is>
      </c>
      <c r="M317" t="inlineStr">
        <is>
          <t>1980</t>
        </is>
      </c>
      <c r="O317" t="inlineStr">
        <is>
          <t>eng</t>
        </is>
      </c>
      <c r="P317" t="inlineStr">
        <is>
          <t>xxu</t>
        </is>
      </c>
      <c r="Q317" t="inlineStr">
        <is>
          <t>Biochemical pharmacology and toxicology</t>
        </is>
      </c>
      <c r="R317" t="inlineStr">
        <is>
          <t xml:space="preserve">QU </t>
        </is>
      </c>
      <c r="S317" t="n">
        <v>0</v>
      </c>
      <c r="T317" t="n">
        <v>2</v>
      </c>
      <c r="V317" t="inlineStr">
        <is>
          <t>1990-07-31</t>
        </is>
      </c>
      <c r="W317" t="inlineStr">
        <is>
          <t>1988-01-28</t>
        </is>
      </c>
      <c r="X317" t="inlineStr">
        <is>
          <t>1988-01-28</t>
        </is>
      </c>
      <c r="Y317" t="n">
        <v>323</v>
      </c>
      <c r="Z317" t="n">
        <v>242</v>
      </c>
      <c r="AA317" t="n">
        <v>267</v>
      </c>
      <c r="AB317" t="n">
        <v>1</v>
      </c>
      <c r="AC317" t="n">
        <v>1</v>
      </c>
      <c r="AD317" t="n">
        <v>4</v>
      </c>
      <c r="AE317" t="n">
        <v>5</v>
      </c>
      <c r="AF317" t="n">
        <v>1</v>
      </c>
      <c r="AG317" t="n">
        <v>2</v>
      </c>
      <c r="AH317" t="n">
        <v>3</v>
      </c>
      <c r="AI317" t="n">
        <v>3</v>
      </c>
      <c r="AJ317" t="n">
        <v>2</v>
      </c>
      <c r="AK317" t="n">
        <v>2</v>
      </c>
      <c r="AL317" t="n">
        <v>0</v>
      </c>
      <c r="AM317" t="n">
        <v>0</v>
      </c>
      <c r="AN317" t="n">
        <v>0</v>
      </c>
      <c r="AO317" t="n">
        <v>0</v>
      </c>
      <c r="AP317" t="inlineStr">
        <is>
          <t>No</t>
        </is>
      </c>
      <c r="AQ317" t="inlineStr">
        <is>
          <t>Yes</t>
        </is>
      </c>
      <c r="AR317">
        <f>HYPERLINK("http://catalog.hathitrust.org/Record/000730175","HathiTrust Record")</f>
        <v/>
      </c>
      <c r="AS317">
        <f>HYPERLINK("https://creighton-primo.hosted.exlibrisgroup.com/primo-explore/search?tab=default_tab&amp;search_scope=EVERYTHING&amp;vid=01CRU&amp;lang=en_US&amp;offset=0&amp;query=any,contains,991000903479702656","Catalog Record")</f>
        <v/>
      </c>
      <c r="AT317">
        <f>HYPERLINK("http://www.worldcat.org/oclc/6420380","WorldCat Record")</f>
        <v/>
      </c>
      <c r="AU317" t="inlineStr">
        <is>
          <t>3374691727:eng</t>
        </is>
      </c>
      <c r="AV317" t="inlineStr">
        <is>
          <t>6420380</t>
        </is>
      </c>
      <c r="AW317" t="inlineStr">
        <is>
          <t>991000903479702656</t>
        </is>
      </c>
      <c r="AX317" t="inlineStr">
        <is>
          <t>991000903479702656</t>
        </is>
      </c>
      <c r="AY317" t="inlineStr">
        <is>
          <t>2267571930002656</t>
        </is>
      </c>
      <c r="AZ317" t="inlineStr">
        <is>
          <t>BOOK</t>
        </is>
      </c>
      <c r="BB317" t="inlineStr">
        <is>
          <t>9780123800015</t>
        </is>
      </c>
      <c r="BC317" t="inlineStr">
        <is>
          <t>30001000175093</t>
        </is>
      </c>
      <c r="BD317" t="inlineStr">
        <is>
          <t>893826168</t>
        </is>
      </c>
    </row>
    <row r="318">
      <c r="A318" t="inlineStr">
        <is>
          <t>No</t>
        </is>
      </c>
      <c r="B318" t="inlineStr">
        <is>
          <t>QU 120 E61 1980</t>
        </is>
      </c>
      <c r="C318" t="inlineStr">
        <is>
          <t>0                      QU 0120000E  61          1980</t>
        </is>
      </c>
      <c r="D318" t="inlineStr">
        <is>
          <t>Enzymatic basis of detoxication / edited by William B. Jakoby.</t>
        </is>
      </c>
      <c r="E318" t="inlineStr">
        <is>
          <t>V. 1</t>
        </is>
      </c>
      <c r="F318" t="inlineStr">
        <is>
          <t>Yes</t>
        </is>
      </c>
      <c r="G318" t="inlineStr">
        <is>
          <t>1</t>
        </is>
      </c>
      <c r="H318" t="inlineStr">
        <is>
          <t>No</t>
        </is>
      </c>
      <c r="I318" t="inlineStr">
        <is>
          <t>No</t>
        </is>
      </c>
      <c r="J318" t="inlineStr">
        <is>
          <t>0</t>
        </is>
      </c>
      <c r="L318" t="inlineStr">
        <is>
          <t>New York : Academic Press, 1980.</t>
        </is>
      </c>
      <c r="M318" t="inlineStr">
        <is>
          <t>1980</t>
        </is>
      </c>
      <c r="O318" t="inlineStr">
        <is>
          <t>eng</t>
        </is>
      </c>
      <c r="P318" t="inlineStr">
        <is>
          <t>xxu</t>
        </is>
      </c>
      <c r="Q318" t="inlineStr">
        <is>
          <t>Biochemical pharmacology and toxicology</t>
        </is>
      </c>
      <c r="R318" t="inlineStr">
        <is>
          <t xml:space="preserve">QU </t>
        </is>
      </c>
      <c r="S318" t="n">
        <v>2</v>
      </c>
      <c r="T318" t="n">
        <v>2</v>
      </c>
      <c r="U318" t="inlineStr">
        <is>
          <t>1990-07-31</t>
        </is>
      </c>
      <c r="V318" t="inlineStr">
        <is>
          <t>1990-07-31</t>
        </is>
      </c>
      <c r="W318" t="inlineStr">
        <is>
          <t>1988-01-28</t>
        </is>
      </c>
      <c r="X318" t="inlineStr">
        <is>
          <t>1988-01-28</t>
        </is>
      </c>
      <c r="Y318" t="n">
        <v>323</v>
      </c>
      <c r="Z318" t="n">
        <v>242</v>
      </c>
      <c r="AA318" t="n">
        <v>267</v>
      </c>
      <c r="AB318" t="n">
        <v>1</v>
      </c>
      <c r="AC318" t="n">
        <v>1</v>
      </c>
      <c r="AD318" t="n">
        <v>4</v>
      </c>
      <c r="AE318" t="n">
        <v>5</v>
      </c>
      <c r="AF318" t="n">
        <v>1</v>
      </c>
      <c r="AG318" t="n">
        <v>2</v>
      </c>
      <c r="AH318" t="n">
        <v>3</v>
      </c>
      <c r="AI318" t="n">
        <v>3</v>
      </c>
      <c r="AJ318" t="n">
        <v>2</v>
      </c>
      <c r="AK318" t="n">
        <v>2</v>
      </c>
      <c r="AL318" t="n">
        <v>0</v>
      </c>
      <c r="AM318" t="n">
        <v>0</v>
      </c>
      <c r="AN318" t="n">
        <v>0</v>
      </c>
      <c r="AO318" t="n">
        <v>0</v>
      </c>
      <c r="AP318" t="inlineStr">
        <is>
          <t>No</t>
        </is>
      </c>
      <c r="AQ318" t="inlineStr">
        <is>
          <t>Yes</t>
        </is>
      </c>
      <c r="AR318">
        <f>HYPERLINK("http://catalog.hathitrust.org/Record/000730175","HathiTrust Record")</f>
        <v/>
      </c>
      <c r="AS318">
        <f>HYPERLINK("https://creighton-primo.hosted.exlibrisgroup.com/primo-explore/search?tab=default_tab&amp;search_scope=EVERYTHING&amp;vid=01CRU&amp;lang=en_US&amp;offset=0&amp;query=any,contains,991000903479702656","Catalog Record")</f>
        <v/>
      </c>
      <c r="AT318">
        <f>HYPERLINK("http://www.worldcat.org/oclc/6420380","WorldCat Record")</f>
        <v/>
      </c>
      <c r="AU318" t="inlineStr">
        <is>
          <t>3374691727:eng</t>
        </is>
      </c>
      <c r="AV318" t="inlineStr">
        <is>
          <t>6420380</t>
        </is>
      </c>
      <c r="AW318" t="inlineStr">
        <is>
          <t>991000903479702656</t>
        </is>
      </c>
      <c r="AX318" t="inlineStr">
        <is>
          <t>991000903479702656</t>
        </is>
      </c>
      <c r="AY318" t="inlineStr">
        <is>
          <t>2267571930002656</t>
        </is>
      </c>
      <c r="AZ318" t="inlineStr">
        <is>
          <t>BOOK</t>
        </is>
      </c>
      <c r="BB318" t="inlineStr">
        <is>
          <t>9780123800015</t>
        </is>
      </c>
      <c r="BC318" t="inlineStr">
        <is>
          <t>30001000175101</t>
        </is>
      </c>
      <c r="BD318" t="inlineStr">
        <is>
          <t>893826167</t>
        </is>
      </c>
    </row>
    <row r="319">
      <c r="A319" t="inlineStr">
        <is>
          <t>No</t>
        </is>
      </c>
      <c r="B319" t="inlineStr">
        <is>
          <t>QU 120 G479w 1997</t>
        </is>
      </c>
      <c r="C319" t="inlineStr">
        <is>
          <t>0                      QU 0120000G  479w        1997</t>
        </is>
      </c>
      <c r="D319" t="inlineStr">
        <is>
          <t>Wills' biochemical basis of medicine.</t>
        </is>
      </c>
      <c r="F319" t="inlineStr">
        <is>
          <t>No</t>
        </is>
      </c>
      <c r="G319" t="inlineStr">
        <is>
          <t>1</t>
        </is>
      </c>
      <c r="H319" t="inlineStr">
        <is>
          <t>No</t>
        </is>
      </c>
      <c r="I319" t="inlineStr">
        <is>
          <t>No</t>
        </is>
      </c>
      <c r="J319" t="inlineStr">
        <is>
          <t>0</t>
        </is>
      </c>
      <c r="K319" t="inlineStr">
        <is>
          <t>Wills, Eric D.</t>
        </is>
      </c>
      <c r="L319" t="inlineStr">
        <is>
          <t>Oxford ; Boston : Butterworth-Heinemann, c1997.</t>
        </is>
      </c>
      <c r="M319" t="inlineStr">
        <is>
          <t>1997</t>
        </is>
      </c>
      <c r="N319" t="inlineStr">
        <is>
          <t>3rd ed. / Brian Gillham, Despo K. Papachristodoulou, J. Hywell Thomas.</t>
        </is>
      </c>
      <c r="O319" t="inlineStr">
        <is>
          <t>eng</t>
        </is>
      </c>
      <c r="P319" t="inlineStr">
        <is>
          <t>enk</t>
        </is>
      </c>
      <c r="R319" t="inlineStr">
        <is>
          <t xml:space="preserve">QU </t>
        </is>
      </c>
      <c r="S319" t="n">
        <v>6</v>
      </c>
      <c r="T319" t="n">
        <v>6</v>
      </c>
      <c r="U319" t="inlineStr">
        <is>
          <t>1999-01-12</t>
        </is>
      </c>
      <c r="V319" t="inlineStr">
        <is>
          <t>1999-01-12</t>
        </is>
      </c>
      <c r="W319" t="inlineStr">
        <is>
          <t>1998-06-16</t>
        </is>
      </c>
      <c r="X319" t="inlineStr">
        <is>
          <t>1998-06-16</t>
        </is>
      </c>
      <c r="Y319" t="n">
        <v>204</v>
      </c>
      <c r="Z319" t="n">
        <v>132</v>
      </c>
      <c r="AA319" t="n">
        <v>137</v>
      </c>
      <c r="AB319" t="n">
        <v>1</v>
      </c>
      <c r="AC319" t="n">
        <v>1</v>
      </c>
      <c r="AD319" t="n">
        <v>4</v>
      </c>
      <c r="AE319" t="n">
        <v>4</v>
      </c>
      <c r="AF319" t="n">
        <v>2</v>
      </c>
      <c r="AG319" t="n">
        <v>2</v>
      </c>
      <c r="AH319" t="n">
        <v>1</v>
      </c>
      <c r="AI319" t="n">
        <v>1</v>
      </c>
      <c r="AJ319" t="n">
        <v>3</v>
      </c>
      <c r="AK319" t="n">
        <v>3</v>
      </c>
      <c r="AL319" t="n">
        <v>0</v>
      </c>
      <c r="AM319" t="n">
        <v>0</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HYPERLINK("https://creighton-primo.hosted.exlibrisgroup.com/primo-explore/search?tab=default_tab&amp;search_scope=EVERYTHING&amp;vid=01CRU&amp;lang=en_US&amp;offset=0&amp;query=any,contains,991000901849702656","Catalog Record")</f>
        <v/>
      </c>
      <c r="AT319">
        <f>HYPERLINK("http://www.worldcat.org/oclc/34951210","WorldCat Record")</f>
        <v/>
      </c>
      <c r="AU319" t="inlineStr">
        <is>
          <t>8960689848:eng</t>
        </is>
      </c>
      <c r="AV319" t="inlineStr">
        <is>
          <t>34951210</t>
        </is>
      </c>
      <c r="AW319" t="inlineStr">
        <is>
          <t>991000901849702656</t>
        </is>
      </c>
      <c r="AX319" t="inlineStr">
        <is>
          <t>991000901849702656</t>
        </is>
      </c>
      <c r="AY319" t="inlineStr">
        <is>
          <t>2262309510002656</t>
        </is>
      </c>
      <c r="AZ319" t="inlineStr">
        <is>
          <t>BOOK</t>
        </is>
      </c>
      <c r="BB319" t="inlineStr">
        <is>
          <t>9780750620130</t>
        </is>
      </c>
      <c r="BC319" t="inlineStr">
        <is>
          <t>30001004176683</t>
        </is>
      </c>
      <c r="BD319" t="inlineStr">
        <is>
          <t>893540772</t>
        </is>
      </c>
    </row>
    <row r="320">
      <c r="A320" t="inlineStr">
        <is>
          <t>No</t>
        </is>
      </c>
      <c r="B320" t="inlineStr">
        <is>
          <t>QU 120 G798c 1970 v.4</t>
        </is>
      </c>
      <c r="C320" t="inlineStr">
        <is>
          <t>0                      QU 0120000G  798c        1970                                        v.4</t>
        </is>
      </c>
      <c r="D320" t="inlineStr">
        <is>
          <t>Nucleic acids, protein synthesis, and coenzymes / edited by David M. Greenberg.</t>
        </is>
      </c>
      <c r="E320" t="inlineStr">
        <is>
          <t>V.4</t>
        </is>
      </c>
      <c r="F320" t="inlineStr">
        <is>
          <t>No</t>
        </is>
      </c>
      <c r="G320" t="inlineStr">
        <is>
          <t>1</t>
        </is>
      </c>
      <c r="H320" t="inlineStr">
        <is>
          <t>No</t>
        </is>
      </c>
      <c r="I320" t="inlineStr">
        <is>
          <t>No</t>
        </is>
      </c>
      <c r="J320" t="inlineStr">
        <is>
          <t>0</t>
        </is>
      </c>
      <c r="K320" t="inlineStr">
        <is>
          <t>Greenberg, David M. (David Morris), 1895-1988.</t>
        </is>
      </c>
      <c r="L320" t="inlineStr">
        <is>
          <t>New York : Academic Press, c1970.</t>
        </is>
      </c>
      <c r="M320" t="inlineStr">
        <is>
          <t>1970</t>
        </is>
      </c>
      <c r="O320" t="inlineStr">
        <is>
          <t>eng</t>
        </is>
      </c>
      <c r="P320" t="inlineStr">
        <is>
          <t>nyu</t>
        </is>
      </c>
      <c r="Q320" t="inlineStr">
        <is>
          <t>Metabolic pathways. 3rd ed. ; v. 4.</t>
        </is>
      </c>
      <c r="R320" t="inlineStr">
        <is>
          <t xml:space="preserve">QU </t>
        </is>
      </c>
      <c r="S320" t="n">
        <v>2</v>
      </c>
      <c r="T320" t="n">
        <v>2</v>
      </c>
      <c r="U320" t="inlineStr">
        <is>
          <t>1991-10-26</t>
        </is>
      </c>
      <c r="V320" t="inlineStr">
        <is>
          <t>1991-10-26</t>
        </is>
      </c>
      <c r="W320" t="inlineStr">
        <is>
          <t>1987-12-30</t>
        </is>
      </c>
      <c r="X320" t="inlineStr">
        <is>
          <t>1987-12-30</t>
        </is>
      </c>
      <c r="Y320" t="n">
        <v>19</v>
      </c>
      <c r="Z320" t="n">
        <v>10</v>
      </c>
      <c r="AA320" t="n">
        <v>23</v>
      </c>
      <c r="AB320" t="n">
        <v>1</v>
      </c>
      <c r="AC320" t="n">
        <v>2</v>
      </c>
      <c r="AD320" t="n">
        <v>0</v>
      </c>
      <c r="AE320" t="n">
        <v>2</v>
      </c>
      <c r="AF320" t="n">
        <v>0</v>
      </c>
      <c r="AG320" t="n">
        <v>1</v>
      </c>
      <c r="AH320" t="n">
        <v>0</v>
      </c>
      <c r="AI320" t="n">
        <v>1</v>
      </c>
      <c r="AJ320" t="n">
        <v>0</v>
      </c>
      <c r="AK320" t="n">
        <v>0</v>
      </c>
      <c r="AL320" t="n">
        <v>0</v>
      </c>
      <c r="AM320" t="n">
        <v>1</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HYPERLINK("https://creighton-primo.hosted.exlibrisgroup.com/primo-explore/search?tab=default_tab&amp;search_scope=EVERYTHING&amp;vid=01CRU&amp;lang=en_US&amp;offset=0&amp;query=any,contains,991000904069702656","Catalog Record")</f>
        <v/>
      </c>
      <c r="AT320">
        <f>HYPERLINK("http://www.worldcat.org/oclc/8979723","WorldCat Record")</f>
        <v/>
      </c>
      <c r="AU320" t="inlineStr">
        <is>
          <t>8913047290:eng</t>
        </is>
      </c>
      <c r="AV320" t="inlineStr">
        <is>
          <t>8979723</t>
        </is>
      </c>
      <c r="AW320" t="inlineStr">
        <is>
          <t>991000904069702656</t>
        </is>
      </c>
      <c r="AX320" t="inlineStr">
        <is>
          <t>991000904069702656</t>
        </is>
      </c>
      <c r="AY320" t="inlineStr">
        <is>
          <t>2257919560002656</t>
        </is>
      </c>
      <c r="AZ320" t="inlineStr">
        <is>
          <t>BOOK</t>
        </is>
      </c>
      <c r="BC320" t="inlineStr">
        <is>
          <t>30001000175598</t>
        </is>
      </c>
      <c r="BD320" t="inlineStr">
        <is>
          <t>893120713</t>
        </is>
      </c>
    </row>
    <row r="321">
      <c r="A321" t="inlineStr">
        <is>
          <t>No</t>
        </is>
      </c>
      <c r="B321" t="inlineStr">
        <is>
          <t>QU 120 G798c 1971 v.5</t>
        </is>
      </c>
      <c r="C321" t="inlineStr">
        <is>
          <t>0                      QU 0120000G  798c        1971                                        v.5</t>
        </is>
      </c>
      <c r="D321" t="inlineStr">
        <is>
          <t>Metabolic regulation / Edited by Henry J. Vogel.</t>
        </is>
      </c>
      <c r="E321" t="inlineStr">
        <is>
          <t>V.5</t>
        </is>
      </c>
      <c r="F321" t="inlineStr">
        <is>
          <t>No</t>
        </is>
      </c>
      <c r="G321" t="inlineStr">
        <is>
          <t>1</t>
        </is>
      </c>
      <c r="H321" t="inlineStr">
        <is>
          <t>No</t>
        </is>
      </c>
      <c r="I321" t="inlineStr">
        <is>
          <t>No</t>
        </is>
      </c>
      <c r="J321" t="inlineStr">
        <is>
          <t>0</t>
        </is>
      </c>
      <c r="K321" t="inlineStr">
        <is>
          <t>Vogel, Henry J. (Henry James), 1920-2007.</t>
        </is>
      </c>
      <c r="L321" t="inlineStr">
        <is>
          <t>New York : Academic, c1971.</t>
        </is>
      </c>
      <c r="M321" t="inlineStr">
        <is>
          <t>1971</t>
        </is>
      </c>
      <c r="O321" t="inlineStr">
        <is>
          <t>eng</t>
        </is>
      </c>
      <c r="P321" t="inlineStr">
        <is>
          <t>nyu</t>
        </is>
      </c>
      <c r="Q321" t="inlineStr">
        <is>
          <t>Metabolic pathways ; v. 5</t>
        </is>
      </c>
      <c r="R321" t="inlineStr">
        <is>
          <t xml:space="preserve">QU </t>
        </is>
      </c>
      <c r="S321" t="n">
        <v>1</v>
      </c>
      <c r="T321" t="n">
        <v>1</v>
      </c>
      <c r="U321" t="inlineStr">
        <is>
          <t>1994-04-27</t>
        </is>
      </c>
      <c r="V321" t="inlineStr">
        <is>
          <t>1994-04-27</t>
        </is>
      </c>
      <c r="W321" t="inlineStr">
        <is>
          <t>1987-12-30</t>
        </is>
      </c>
      <c r="X321" t="inlineStr">
        <is>
          <t>1987-12-30</t>
        </is>
      </c>
      <c r="Y321" t="n">
        <v>34</v>
      </c>
      <c r="Z321" t="n">
        <v>20</v>
      </c>
      <c r="AA321" t="n">
        <v>37</v>
      </c>
      <c r="AB321" t="n">
        <v>1</v>
      </c>
      <c r="AC321" t="n">
        <v>1</v>
      </c>
      <c r="AD321" t="n">
        <v>0</v>
      </c>
      <c r="AE321" t="n">
        <v>0</v>
      </c>
      <c r="AF321" t="n">
        <v>0</v>
      </c>
      <c r="AG321" t="n">
        <v>0</v>
      </c>
      <c r="AH321" t="n">
        <v>0</v>
      </c>
      <c r="AI321" t="n">
        <v>0</v>
      </c>
      <c r="AJ321" t="n">
        <v>0</v>
      </c>
      <c r="AK321" t="n">
        <v>0</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HYPERLINK("https://creighton-primo.hosted.exlibrisgroup.com/primo-explore/search?tab=default_tab&amp;search_scope=EVERYTHING&amp;vid=01CRU&amp;lang=en_US&amp;offset=0&amp;query=any,contains,991000903979702656","Catalog Record")</f>
        <v/>
      </c>
      <c r="AT321">
        <f>HYPERLINK("http://www.worldcat.org/oclc/5908665","WorldCat Record")</f>
        <v/>
      </c>
      <c r="AU321" t="inlineStr">
        <is>
          <t>437148496:eng</t>
        </is>
      </c>
      <c r="AV321" t="inlineStr">
        <is>
          <t>5908665</t>
        </is>
      </c>
      <c r="AW321" t="inlineStr">
        <is>
          <t>991000903979702656</t>
        </is>
      </c>
      <c r="AX321" t="inlineStr">
        <is>
          <t>991000903979702656</t>
        </is>
      </c>
      <c r="AY321" t="inlineStr">
        <is>
          <t>2269866090002656</t>
        </is>
      </c>
      <c r="AZ321" t="inlineStr">
        <is>
          <t>BOOK</t>
        </is>
      </c>
      <c r="BC321" t="inlineStr">
        <is>
          <t>30001000175580</t>
        </is>
      </c>
      <c r="BD321" t="inlineStr">
        <is>
          <t>893273466</t>
        </is>
      </c>
    </row>
    <row r="322">
      <c r="A322" t="inlineStr">
        <is>
          <t>No</t>
        </is>
      </c>
      <c r="B322" t="inlineStr">
        <is>
          <t>QU 120 G798c 1972 v.6</t>
        </is>
      </c>
      <c r="C322" t="inlineStr">
        <is>
          <t>0                      QU 0120000G  798c        1972                                        v.6</t>
        </is>
      </c>
      <c r="D322" t="inlineStr">
        <is>
          <t>Metabolic transport / Edited by Lowell E. Hokin.</t>
        </is>
      </c>
      <c r="E322" t="inlineStr">
        <is>
          <t>V.6</t>
        </is>
      </c>
      <c r="F322" t="inlineStr">
        <is>
          <t>No</t>
        </is>
      </c>
      <c r="G322" t="inlineStr">
        <is>
          <t>1</t>
        </is>
      </c>
      <c r="H322" t="inlineStr">
        <is>
          <t>No</t>
        </is>
      </c>
      <c r="I322" t="inlineStr">
        <is>
          <t>No</t>
        </is>
      </c>
      <c r="J322" t="inlineStr">
        <is>
          <t>0</t>
        </is>
      </c>
      <c r="K322" t="inlineStr">
        <is>
          <t>Hokin, Lowell E., 1924-2018.</t>
        </is>
      </c>
      <c r="L322" t="inlineStr">
        <is>
          <t>New York : Academic, c1972.</t>
        </is>
      </c>
      <c r="M322" t="inlineStr">
        <is>
          <t>1972</t>
        </is>
      </c>
      <c r="O322" t="inlineStr">
        <is>
          <t>eng</t>
        </is>
      </c>
      <c r="P322" t="inlineStr">
        <is>
          <t>nyu</t>
        </is>
      </c>
      <c r="Q322" t="inlineStr">
        <is>
          <t>Metabolic pathways ; v. 6</t>
        </is>
      </c>
      <c r="R322" t="inlineStr">
        <is>
          <t xml:space="preserve">QU </t>
        </is>
      </c>
      <c r="S322" t="n">
        <v>1</v>
      </c>
      <c r="T322" t="n">
        <v>1</v>
      </c>
      <c r="U322" t="inlineStr">
        <is>
          <t>1991-09-15</t>
        </is>
      </c>
      <c r="V322" t="inlineStr">
        <is>
          <t>1991-09-15</t>
        </is>
      </c>
      <c r="W322" t="inlineStr">
        <is>
          <t>1987-12-30</t>
        </is>
      </c>
      <c r="X322" t="inlineStr">
        <is>
          <t>1987-12-30</t>
        </is>
      </c>
      <c r="Y322" t="n">
        <v>40</v>
      </c>
      <c r="Z322" t="n">
        <v>18</v>
      </c>
      <c r="AA322" t="n">
        <v>35</v>
      </c>
      <c r="AB322" t="n">
        <v>1</v>
      </c>
      <c r="AC322" t="n">
        <v>2</v>
      </c>
      <c r="AD322" t="n">
        <v>0</v>
      </c>
      <c r="AE322" t="n">
        <v>2</v>
      </c>
      <c r="AF322" t="n">
        <v>0</v>
      </c>
      <c r="AG322" t="n">
        <v>1</v>
      </c>
      <c r="AH322" t="n">
        <v>0</v>
      </c>
      <c r="AI322" t="n">
        <v>1</v>
      </c>
      <c r="AJ322" t="n">
        <v>0</v>
      </c>
      <c r="AK322" t="n">
        <v>0</v>
      </c>
      <c r="AL322" t="n">
        <v>0</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HYPERLINK("https://creighton-primo.hosted.exlibrisgroup.com/primo-explore/search?tab=default_tab&amp;search_scope=EVERYTHING&amp;vid=01CRU&amp;lang=en_US&amp;offset=0&amp;query=any,contains,991000904029702656","Catalog Record")</f>
        <v/>
      </c>
      <c r="AT322">
        <f>HYPERLINK("http://www.worldcat.org/oclc/5908734","WorldCat Record")</f>
        <v/>
      </c>
      <c r="AU322" t="inlineStr">
        <is>
          <t>148471998:eng</t>
        </is>
      </c>
      <c r="AV322" t="inlineStr">
        <is>
          <t>5908734</t>
        </is>
      </c>
      <c r="AW322" t="inlineStr">
        <is>
          <t>991000904029702656</t>
        </is>
      </c>
      <c r="AX322" t="inlineStr">
        <is>
          <t>991000904029702656</t>
        </is>
      </c>
      <c r="AY322" t="inlineStr">
        <is>
          <t>2269730830002656</t>
        </is>
      </c>
      <c r="AZ322" t="inlineStr">
        <is>
          <t>BOOK</t>
        </is>
      </c>
      <c r="BC322" t="inlineStr">
        <is>
          <t>30001000175572</t>
        </is>
      </c>
      <c r="BD322" t="inlineStr">
        <is>
          <t>893148596</t>
        </is>
      </c>
    </row>
    <row r="323">
      <c r="A323" t="inlineStr">
        <is>
          <t>No</t>
        </is>
      </c>
      <c r="B323" t="inlineStr">
        <is>
          <t>QU120 H843b 2001</t>
        </is>
      </c>
      <c r="C323" t="inlineStr">
        <is>
          <t>0                      QU 0120000H  843b        2001</t>
        </is>
      </c>
      <c r="D323" t="inlineStr">
        <is>
          <t>Biochemistry primer for exercise science / Michael E. Houston.</t>
        </is>
      </c>
      <c r="F323" t="inlineStr">
        <is>
          <t>No</t>
        </is>
      </c>
      <c r="G323" t="inlineStr">
        <is>
          <t>1</t>
        </is>
      </c>
      <c r="H323" t="inlineStr">
        <is>
          <t>No</t>
        </is>
      </c>
      <c r="I323" t="inlineStr">
        <is>
          <t>Yes</t>
        </is>
      </c>
      <c r="J323" t="inlineStr">
        <is>
          <t>0</t>
        </is>
      </c>
      <c r="K323" t="inlineStr">
        <is>
          <t>Houston, Michael E., 1941-2008.</t>
        </is>
      </c>
      <c r="L323" t="inlineStr">
        <is>
          <t>Champaign, IL : Human Kinetics, c2001.</t>
        </is>
      </c>
      <c r="M323" t="inlineStr">
        <is>
          <t>2001</t>
        </is>
      </c>
      <c r="N323" t="inlineStr">
        <is>
          <t>2nd ed.</t>
        </is>
      </c>
      <c r="O323" t="inlineStr">
        <is>
          <t>eng</t>
        </is>
      </c>
      <c r="P323" t="inlineStr">
        <is>
          <t>ilu</t>
        </is>
      </c>
      <c r="R323" t="inlineStr">
        <is>
          <t xml:space="preserve">QU </t>
        </is>
      </c>
      <c r="S323" t="n">
        <v>3</v>
      </c>
      <c r="T323" t="n">
        <v>3</v>
      </c>
      <c r="U323" t="inlineStr">
        <is>
          <t>2003-04-15</t>
        </is>
      </c>
      <c r="V323" t="inlineStr">
        <is>
          <t>2003-04-15</t>
        </is>
      </c>
      <c r="W323" t="inlineStr">
        <is>
          <t>2003-04-15</t>
        </is>
      </c>
      <c r="X323" t="inlineStr">
        <is>
          <t>2003-04-15</t>
        </is>
      </c>
      <c r="Y323" t="n">
        <v>338</v>
      </c>
      <c r="Z323" t="n">
        <v>251</v>
      </c>
      <c r="AA323" t="n">
        <v>490</v>
      </c>
      <c r="AB323" t="n">
        <v>4</v>
      </c>
      <c r="AC323" t="n">
        <v>7</v>
      </c>
      <c r="AD323" t="n">
        <v>8</v>
      </c>
      <c r="AE323" t="n">
        <v>17</v>
      </c>
      <c r="AF323" t="n">
        <v>4</v>
      </c>
      <c r="AG323" t="n">
        <v>9</v>
      </c>
      <c r="AH323" t="n">
        <v>2</v>
      </c>
      <c r="AI323" t="n">
        <v>3</v>
      </c>
      <c r="AJ323" t="n">
        <v>2</v>
      </c>
      <c r="AK323" t="n">
        <v>5</v>
      </c>
      <c r="AL323" t="n">
        <v>2</v>
      </c>
      <c r="AM323" t="n">
        <v>4</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HYPERLINK("https://creighton-primo.hosted.exlibrisgroup.com/primo-explore/search?tab=default_tab&amp;search_scope=EVERYTHING&amp;vid=01CRU&amp;lang=en_US&amp;offset=0&amp;query=any,contains,991000345119702656","Catalog Record")</f>
        <v/>
      </c>
      <c r="AT323">
        <f>HYPERLINK("http://www.worldcat.org/oclc/45304224","WorldCat Record")</f>
        <v/>
      </c>
      <c r="AU323" t="inlineStr">
        <is>
          <t>33353937:eng</t>
        </is>
      </c>
      <c r="AV323" t="inlineStr">
        <is>
          <t>45304224</t>
        </is>
      </c>
      <c r="AW323" t="inlineStr">
        <is>
          <t>991000345119702656</t>
        </is>
      </c>
      <c r="AX323" t="inlineStr">
        <is>
          <t>991000345119702656</t>
        </is>
      </c>
      <c r="AY323" t="inlineStr">
        <is>
          <t>2254768690002656</t>
        </is>
      </c>
      <c r="AZ323" t="inlineStr">
        <is>
          <t>BOOK</t>
        </is>
      </c>
      <c r="BB323" t="inlineStr">
        <is>
          <t>9780736036443</t>
        </is>
      </c>
      <c r="BC323" t="inlineStr">
        <is>
          <t>30001004502649</t>
        </is>
      </c>
      <c r="BD323" t="inlineStr">
        <is>
          <t>893553438</t>
        </is>
      </c>
    </row>
    <row r="324">
      <c r="A324" t="inlineStr">
        <is>
          <t>No</t>
        </is>
      </c>
      <c r="B324" t="inlineStr">
        <is>
          <t>QU 120 M168e 1983</t>
        </is>
      </c>
      <c r="C324" t="inlineStr">
        <is>
          <t>0                      QU 0120000M  168e        1983</t>
        </is>
      </c>
      <c r="D324" t="inlineStr">
        <is>
          <t>Essentials of human metabolism : the relationship of biochemistry to human physiology and disease / W.C. McMurray.</t>
        </is>
      </c>
      <c r="F324" t="inlineStr">
        <is>
          <t>No</t>
        </is>
      </c>
      <c r="G324" t="inlineStr">
        <is>
          <t>1</t>
        </is>
      </c>
      <c r="H324" t="inlineStr">
        <is>
          <t>No</t>
        </is>
      </c>
      <c r="I324" t="inlineStr">
        <is>
          <t>No</t>
        </is>
      </c>
      <c r="J324" t="inlineStr">
        <is>
          <t>0</t>
        </is>
      </c>
      <c r="K324" t="inlineStr">
        <is>
          <t>McMurray, W. C., 1931-</t>
        </is>
      </c>
      <c r="L324" t="inlineStr">
        <is>
          <t>Philadelphia : Harper &amp; Row, c1983.</t>
        </is>
      </c>
      <c r="M324" t="inlineStr">
        <is>
          <t>1983</t>
        </is>
      </c>
      <c r="N324" t="inlineStr">
        <is>
          <t>[Rev. ed.].</t>
        </is>
      </c>
      <c r="O324" t="inlineStr">
        <is>
          <t>eng</t>
        </is>
      </c>
      <c r="P324" t="inlineStr">
        <is>
          <t>xxu</t>
        </is>
      </c>
      <c r="R324" t="inlineStr">
        <is>
          <t xml:space="preserve">QU </t>
        </is>
      </c>
      <c r="S324" t="n">
        <v>1</v>
      </c>
      <c r="T324" t="n">
        <v>1</v>
      </c>
      <c r="U324" t="inlineStr">
        <is>
          <t>1988-05-05</t>
        </is>
      </c>
      <c r="V324" t="inlineStr">
        <is>
          <t>1988-05-05</t>
        </is>
      </c>
      <c r="W324" t="inlineStr">
        <is>
          <t>1988-01-28</t>
        </is>
      </c>
      <c r="X324" t="inlineStr">
        <is>
          <t>1988-01-28</t>
        </is>
      </c>
      <c r="Y324" t="n">
        <v>189</v>
      </c>
      <c r="Z324" t="n">
        <v>150</v>
      </c>
      <c r="AA324" t="n">
        <v>277</v>
      </c>
      <c r="AB324" t="n">
        <v>1</v>
      </c>
      <c r="AC324" t="n">
        <v>3</v>
      </c>
      <c r="AD324" t="n">
        <v>0</v>
      </c>
      <c r="AE324" t="n">
        <v>5</v>
      </c>
      <c r="AF324" t="n">
        <v>0</v>
      </c>
      <c r="AG324" t="n">
        <v>1</v>
      </c>
      <c r="AH324" t="n">
        <v>0</v>
      </c>
      <c r="AI324" t="n">
        <v>2</v>
      </c>
      <c r="AJ324" t="n">
        <v>0</v>
      </c>
      <c r="AK324" t="n">
        <v>1</v>
      </c>
      <c r="AL324" t="n">
        <v>0</v>
      </c>
      <c r="AM324" t="n">
        <v>2</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HYPERLINK("https://creighton-primo.hosted.exlibrisgroup.com/primo-explore/search?tab=default_tab&amp;search_scope=EVERYTHING&amp;vid=01CRU&amp;lang=en_US&amp;offset=0&amp;query=any,contains,991000903949702656","Catalog Record")</f>
        <v/>
      </c>
      <c r="AT324">
        <f>HYPERLINK("http://www.worldcat.org/oclc/9350445","WorldCat Record")</f>
        <v/>
      </c>
      <c r="AU324" t="inlineStr">
        <is>
          <t>4749539:eng</t>
        </is>
      </c>
      <c r="AV324" t="inlineStr">
        <is>
          <t>9350445</t>
        </is>
      </c>
      <c r="AW324" t="inlineStr">
        <is>
          <t>991000903949702656</t>
        </is>
      </c>
      <c r="AX324" t="inlineStr">
        <is>
          <t>991000903949702656</t>
        </is>
      </c>
      <c r="AY324" t="inlineStr">
        <is>
          <t>2260874190002656</t>
        </is>
      </c>
      <c r="AZ324" t="inlineStr">
        <is>
          <t>BOOK</t>
        </is>
      </c>
      <c r="BB324" t="inlineStr">
        <is>
          <t>9780061416439</t>
        </is>
      </c>
      <c r="BC324" t="inlineStr">
        <is>
          <t>30001000175523</t>
        </is>
      </c>
      <c r="BD324" t="inlineStr">
        <is>
          <t>893546195</t>
        </is>
      </c>
    </row>
    <row r="325">
      <c r="A325" t="inlineStr">
        <is>
          <t>No</t>
        </is>
      </c>
      <c r="B325" t="inlineStr">
        <is>
          <t>QU 120 M587 1985</t>
        </is>
      </c>
      <c r="C325" t="inlineStr">
        <is>
          <t>0                      QU 0120000M  587         1985</t>
        </is>
      </c>
      <c r="D325" t="inlineStr">
        <is>
          <t>Metabolic regulation / edited by Raymond S. Ochs, Richard W. Hanson, Judith Hall.</t>
        </is>
      </c>
      <c r="F325" t="inlineStr">
        <is>
          <t>No</t>
        </is>
      </c>
      <c r="G325" t="inlineStr">
        <is>
          <t>1</t>
        </is>
      </c>
      <c r="H325" t="inlineStr">
        <is>
          <t>No</t>
        </is>
      </c>
      <c r="I325" t="inlineStr">
        <is>
          <t>No</t>
        </is>
      </c>
      <c r="J325" t="inlineStr">
        <is>
          <t>0</t>
        </is>
      </c>
      <c r="L325" t="inlineStr">
        <is>
          <t>Amsterdam ; New York : Elsevier Science, c1985.</t>
        </is>
      </c>
      <c r="M325" t="inlineStr">
        <is>
          <t>1985</t>
        </is>
      </c>
      <c r="O325" t="inlineStr">
        <is>
          <t>eng</t>
        </is>
      </c>
      <c r="P325" t="inlineStr">
        <is>
          <t xml:space="preserve">ne </t>
        </is>
      </c>
      <c r="R325" t="inlineStr">
        <is>
          <t xml:space="preserve">QU </t>
        </is>
      </c>
      <c r="S325" t="n">
        <v>4</v>
      </c>
      <c r="T325" t="n">
        <v>4</v>
      </c>
      <c r="U325" t="inlineStr">
        <is>
          <t>1994-06-17</t>
        </is>
      </c>
      <c r="V325" t="inlineStr">
        <is>
          <t>1994-06-17</t>
        </is>
      </c>
      <c r="W325" t="inlineStr">
        <is>
          <t>1988-01-28</t>
        </is>
      </c>
      <c r="X325" t="inlineStr">
        <is>
          <t>1988-01-28</t>
        </is>
      </c>
      <c r="Y325" t="n">
        <v>143</v>
      </c>
      <c r="Z325" t="n">
        <v>82</v>
      </c>
      <c r="AA325" t="n">
        <v>83</v>
      </c>
      <c r="AB325" t="n">
        <v>1</v>
      </c>
      <c r="AC325" t="n">
        <v>1</v>
      </c>
      <c r="AD325" t="n">
        <v>2</v>
      </c>
      <c r="AE325" t="n">
        <v>2</v>
      </c>
      <c r="AF325" t="n">
        <v>0</v>
      </c>
      <c r="AG325" t="n">
        <v>0</v>
      </c>
      <c r="AH325" t="n">
        <v>0</v>
      </c>
      <c r="AI325" t="n">
        <v>0</v>
      </c>
      <c r="AJ325" t="n">
        <v>2</v>
      </c>
      <c r="AK325" t="n">
        <v>2</v>
      </c>
      <c r="AL325" t="n">
        <v>0</v>
      </c>
      <c r="AM325" t="n">
        <v>0</v>
      </c>
      <c r="AN325" t="n">
        <v>0</v>
      </c>
      <c r="AO325" t="n">
        <v>0</v>
      </c>
      <c r="AP325" t="inlineStr">
        <is>
          <t>No</t>
        </is>
      </c>
      <c r="AQ325" t="inlineStr">
        <is>
          <t>Yes</t>
        </is>
      </c>
      <c r="AR325">
        <f>HYPERLINK("http://catalog.hathitrust.org/Record/000556933","HathiTrust Record")</f>
        <v/>
      </c>
      <c r="AS325">
        <f>HYPERLINK("https://creighton-primo.hosted.exlibrisgroup.com/primo-explore/search?tab=default_tab&amp;search_scope=EVERYTHING&amp;vid=01CRU&amp;lang=en_US&amp;offset=0&amp;query=any,contains,991000911949702656","Catalog Record")</f>
        <v/>
      </c>
      <c r="AT325">
        <f>HYPERLINK("http://www.worldcat.org/oclc/13089504","WorldCat Record")</f>
        <v/>
      </c>
      <c r="AU325" t="inlineStr">
        <is>
          <t>510051729:eng</t>
        </is>
      </c>
      <c r="AV325" t="inlineStr">
        <is>
          <t>13089504</t>
        </is>
      </c>
      <c r="AW325" t="inlineStr">
        <is>
          <t>991000911949702656</t>
        </is>
      </c>
      <c r="AX325" t="inlineStr">
        <is>
          <t>991000911949702656</t>
        </is>
      </c>
      <c r="AY325" t="inlineStr">
        <is>
          <t>2260279600002656</t>
        </is>
      </c>
      <c r="AZ325" t="inlineStr">
        <is>
          <t>BOOK</t>
        </is>
      </c>
      <c r="BB325" t="inlineStr">
        <is>
          <t>9780444806918</t>
        </is>
      </c>
      <c r="BC325" t="inlineStr">
        <is>
          <t>30001000178691</t>
        </is>
      </c>
      <c r="BD325" t="inlineStr">
        <is>
          <t>893460127</t>
        </is>
      </c>
    </row>
    <row r="326">
      <c r="A326" t="inlineStr">
        <is>
          <t>No</t>
        </is>
      </c>
      <c r="B326" t="inlineStr">
        <is>
          <t>QU 120 P957 1980</t>
        </is>
      </c>
      <c r="C326" t="inlineStr">
        <is>
          <t>0                      QU 0120000P  957         1980</t>
        </is>
      </c>
      <c r="D326" t="inlineStr">
        <is>
          <t>Principles of metabolic control in mammalian systems / edited by Robert H. Herman and Robert M. Cohn and Pamela D. McNamara.</t>
        </is>
      </c>
      <c r="F326" t="inlineStr">
        <is>
          <t>No</t>
        </is>
      </c>
      <c r="G326" t="inlineStr">
        <is>
          <t>1</t>
        </is>
      </c>
      <c r="H326" t="inlineStr">
        <is>
          <t>Yes</t>
        </is>
      </c>
      <c r="I326" t="inlineStr">
        <is>
          <t>No</t>
        </is>
      </c>
      <c r="J326" t="inlineStr">
        <is>
          <t>0</t>
        </is>
      </c>
      <c r="L326" t="inlineStr">
        <is>
          <t>New York : Plenum Press, c1979.</t>
        </is>
      </c>
      <c r="M326" t="inlineStr">
        <is>
          <t>1979</t>
        </is>
      </c>
      <c r="O326" t="inlineStr">
        <is>
          <t>eng</t>
        </is>
      </c>
      <c r="P326" t="inlineStr">
        <is>
          <t xml:space="preserve">xx </t>
        </is>
      </c>
      <c r="R326" t="inlineStr">
        <is>
          <t xml:space="preserve">QU </t>
        </is>
      </c>
      <c r="S326" t="n">
        <v>5</v>
      </c>
      <c r="T326" t="n">
        <v>5</v>
      </c>
      <c r="U326" t="inlineStr">
        <is>
          <t>1994-06-17</t>
        </is>
      </c>
      <c r="V326" t="inlineStr">
        <is>
          <t>1994-06-17</t>
        </is>
      </c>
      <c r="W326" t="inlineStr">
        <is>
          <t>1988-01-28</t>
        </is>
      </c>
      <c r="X326" t="inlineStr">
        <is>
          <t>1988-01-28</t>
        </is>
      </c>
      <c r="Y326" t="n">
        <v>403</v>
      </c>
      <c r="Z326" t="n">
        <v>289</v>
      </c>
      <c r="AA326" t="n">
        <v>310</v>
      </c>
      <c r="AB326" t="n">
        <v>4</v>
      </c>
      <c r="AC326" t="n">
        <v>4</v>
      </c>
      <c r="AD326" t="n">
        <v>10</v>
      </c>
      <c r="AE326" t="n">
        <v>10</v>
      </c>
      <c r="AF326" t="n">
        <v>2</v>
      </c>
      <c r="AG326" t="n">
        <v>2</v>
      </c>
      <c r="AH326" t="n">
        <v>3</v>
      </c>
      <c r="AI326" t="n">
        <v>3</v>
      </c>
      <c r="AJ326" t="n">
        <v>6</v>
      </c>
      <c r="AK326" t="n">
        <v>6</v>
      </c>
      <c r="AL326" t="n">
        <v>2</v>
      </c>
      <c r="AM326" t="n">
        <v>2</v>
      </c>
      <c r="AN326" t="n">
        <v>0</v>
      </c>
      <c r="AO326" t="n">
        <v>0</v>
      </c>
      <c r="AP326" t="inlineStr">
        <is>
          <t>No</t>
        </is>
      </c>
      <c r="AQ326" t="inlineStr">
        <is>
          <t>Yes</t>
        </is>
      </c>
      <c r="AR326">
        <f>HYPERLINK("http://catalog.hathitrust.org/Record/000040580","HathiTrust Record")</f>
        <v/>
      </c>
      <c r="AS326">
        <f>HYPERLINK("https://creighton-primo.hosted.exlibrisgroup.com/primo-explore/search?tab=default_tab&amp;search_scope=EVERYTHING&amp;vid=01CRU&amp;lang=en_US&amp;offset=0&amp;query=any,contains,991000903869702656","Catalog Record")</f>
        <v/>
      </c>
      <c r="AT326">
        <f>HYPERLINK("http://www.worldcat.org/oclc/5101903","WorldCat Record")</f>
        <v/>
      </c>
      <c r="AU326" t="inlineStr">
        <is>
          <t>355439519:eng</t>
        </is>
      </c>
      <c r="AV326" t="inlineStr">
        <is>
          <t>5101903</t>
        </is>
      </c>
      <c r="AW326" t="inlineStr">
        <is>
          <t>991000903869702656</t>
        </is>
      </c>
      <c r="AX326" t="inlineStr">
        <is>
          <t>991000903869702656</t>
        </is>
      </c>
      <c r="AY326" t="inlineStr">
        <is>
          <t>2265488460002656</t>
        </is>
      </c>
      <c r="AZ326" t="inlineStr">
        <is>
          <t>BOOK</t>
        </is>
      </c>
      <c r="BB326" t="inlineStr">
        <is>
          <t>9780306402616</t>
        </is>
      </c>
      <c r="BC326" t="inlineStr">
        <is>
          <t>30001000175507</t>
        </is>
      </c>
      <c r="BD326" t="inlineStr">
        <is>
          <t>893648663</t>
        </is>
      </c>
    </row>
    <row r="327">
      <c r="A327" t="inlineStr">
        <is>
          <t>No</t>
        </is>
      </c>
      <c r="B327" t="inlineStr">
        <is>
          <t>QU120 S186m 2004</t>
        </is>
      </c>
      <c r="C327" t="inlineStr">
        <is>
          <t>0                      QU 0120000S  186m        2004</t>
        </is>
      </c>
      <c r="D327" t="inlineStr">
        <is>
          <t>Metabolism at a glance / J.G. Salway ; foreword by D.K. Granner.</t>
        </is>
      </c>
      <c r="F327" t="inlineStr">
        <is>
          <t>No</t>
        </is>
      </c>
      <c r="G327" t="inlineStr">
        <is>
          <t>1</t>
        </is>
      </c>
      <c r="H327" t="inlineStr">
        <is>
          <t>No</t>
        </is>
      </c>
      <c r="I327" t="inlineStr">
        <is>
          <t>No</t>
        </is>
      </c>
      <c r="J327" t="inlineStr">
        <is>
          <t>0</t>
        </is>
      </c>
      <c r="K327" t="inlineStr">
        <is>
          <t>Salway, J. G.</t>
        </is>
      </c>
      <c r="L327" t="inlineStr">
        <is>
          <t>Malden, Mass. : Blackwell Pub., 2004.</t>
        </is>
      </c>
      <c r="M327" t="inlineStr">
        <is>
          <t>2004</t>
        </is>
      </c>
      <c r="N327" t="inlineStr">
        <is>
          <t>3rd ed.</t>
        </is>
      </c>
      <c r="O327" t="inlineStr">
        <is>
          <t>eng</t>
        </is>
      </c>
      <c r="P327" t="inlineStr">
        <is>
          <t>mau</t>
        </is>
      </c>
      <c r="R327" t="inlineStr">
        <is>
          <t xml:space="preserve">QU </t>
        </is>
      </c>
      <c r="S327" t="n">
        <v>4</v>
      </c>
      <c r="T327" t="n">
        <v>4</v>
      </c>
      <c r="U327" t="inlineStr">
        <is>
          <t>2006-12-13</t>
        </is>
      </c>
      <c r="V327" t="inlineStr">
        <is>
          <t>2006-12-13</t>
        </is>
      </c>
      <c r="W327" t="inlineStr">
        <is>
          <t>2004-06-15</t>
        </is>
      </c>
      <c r="X327" t="inlineStr">
        <is>
          <t>2004-06-15</t>
        </is>
      </c>
      <c r="Y327" t="n">
        <v>305</v>
      </c>
      <c r="Z327" t="n">
        <v>156</v>
      </c>
      <c r="AA327" t="n">
        <v>358</v>
      </c>
      <c r="AB327" t="n">
        <v>1</v>
      </c>
      <c r="AC327" t="n">
        <v>3</v>
      </c>
      <c r="AD327" t="n">
        <v>7</v>
      </c>
      <c r="AE327" t="n">
        <v>15</v>
      </c>
      <c r="AF327" t="n">
        <v>3</v>
      </c>
      <c r="AG327" t="n">
        <v>5</v>
      </c>
      <c r="AH327" t="n">
        <v>3</v>
      </c>
      <c r="AI327" t="n">
        <v>5</v>
      </c>
      <c r="AJ327" t="n">
        <v>3</v>
      </c>
      <c r="AK327" t="n">
        <v>7</v>
      </c>
      <c r="AL327" t="n">
        <v>0</v>
      </c>
      <c r="AM327" t="n">
        <v>2</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HYPERLINK("https://creighton-primo.hosted.exlibrisgroup.com/primo-explore/search?tab=default_tab&amp;search_scope=EVERYTHING&amp;vid=01CRU&amp;lang=en_US&amp;offset=0&amp;query=any,contains,991000374839702656","Catalog Record")</f>
        <v/>
      </c>
      <c r="AT327">
        <f>HYPERLINK("http://www.worldcat.org/oclc/53178315","WorldCat Record")</f>
        <v/>
      </c>
      <c r="AU327" t="inlineStr">
        <is>
          <t>764758:eng</t>
        </is>
      </c>
      <c r="AV327" t="inlineStr">
        <is>
          <t>53178315</t>
        </is>
      </c>
      <c r="AW327" t="inlineStr">
        <is>
          <t>991000374839702656</t>
        </is>
      </c>
      <c r="AX327" t="inlineStr">
        <is>
          <t>991000374839702656</t>
        </is>
      </c>
      <c r="AY327" t="inlineStr">
        <is>
          <t>2259993040002656</t>
        </is>
      </c>
      <c r="AZ327" t="inlineStr">
        <is>
          <t>BOOK</t>
        </is>
      </c>
      <c r="BB327" t="inlineStr">
        <is>
          <t>9781405107167</t>
        </is>
      </c>
      <c r="BC327" t="inlineStr">
        <is>
          <t>30001004920601</t>
        </is>
      </c>
      <c r="BD327" t="inlineStr">
        <is>
          <t>893737276</t>
        </is>
      </c>
    </row>
    <row r="328">
      <c r="A328" t="inlineStr">
        <is>
          <t>No</t>
        </is>
      </c>
      <c r="B328" t="inlineStr">
        <is>
          <t>QU 120 S775 1983</t>
        </is>
      </c>
      <c r="C328" t="inlineStr">
        <is>
          <t>0                      QU 0120000S  775         1983</t>
        </is>
      </c>
      <c r="D328" t="inlineStr">
        <is>
          <t>Stable isotopes in nutrition / Judith R. Turnlund, editor, Phyllis E. Johnson, editor.</t>
        </is>
      </c>
      <c r="F328" t="inlineStr">
        <is>
          <t>No</t>
        </is>
      </c>
      <c r="G328" t="inlineStr">
        <is>
          <t>1</t>
        </is>
      </c>
      <c r="H328" t="inlineStr">
        <is>
          <t>No</t>
        </is>
      </c>
      <c r="I328" t="inlineStr">
        <is>
          <t>No</t>
        </is>
      </c>
      <c r="J328" t="inlineStr">
        <is>
          <t>0</t>
        </is>
      </c>
      <c r="L328" t="inlineStr">
        <is>
          <t>Washington, D.C. : American Chemical Society, c1984.</t>
        </is>
      </c>
      <c r="M328" t="inlineStr">
        <is>
          <t>1984</t>
        </is>
      </c>
      <c r="O328" t="inlineStr">
        <is>
          <t>eng</t>
        </is>
      </c>
      <c r="P328" t="inlineStr">
        <is>
          <t xml:space="preserve">xx </t>
        </is>
      </c>
      <c r="Q328" t="inlineStr">
        <is>
          <t>ACS symposium series ; 258</t>
        </is>
      </c>
      <c r="R328" t="inlineStr">
        <is>
          <t xml:space="preserve">QU </t>
        </is>
      </c>
      <c r="S328" t="n">
        <v>1</v>
      </c>
      <c r="T328" t="n">
        <v>1</v>
      </c>
      <c r="U328" t="inlineStr">
        <is>
          <t>1996-10-28</t>
        </is>
      </c>
      <c r="V328" t="inlineStr">
        <is>
          <t>1996-10-28</t>
        </is>
      </c>
      <c r="W328" t="inlineStr">
        <is>
          <t>1988-01-28</t>
        </is>
      </c>
      <c r="X328" t="inlineStr">
        <is>
          <t>1988-01-28</t>
        </is>
      </c>
      <c r="Y328" t="n">
        <v>23</v>
      </c>
      <c r="Z328" t="n">
        <v>15</v>
      </c>
      <c r="AA328" t="n">
        <v>207</v>
      </c>
      <c r="AB328" t="n">
        <v>1</v>
      </c>
      <c r="AC328" t="n">
        <v>2</v>
      </c>
      <c r="AD328" t="n">
        <v>0</v>
      </c>
      <c r="AE328" t="n">
        <v>6</v>
      </c>
      <c r="AF328" t="n">
        <v>0</v>
      </c>
      <c r="AG328" t="n">
        <v>1</v>
      </c>
      <c r="AH328" t="n">
        <v>0</v>
      </c>
      <c r="AI328" t="n">
        <v>2</v>
      </c>
      <c r="AJ328" t="n">
        <v>0</v>
      </c>
      <c r="AK328" t="n">
        <v>3</v>
      </c>
      <c r="AL328" t="n">
        <v>0</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HYPERLINK("https://creighton-primo.hosted.exlibrisgroup.com/primo-explore/search?tab=default_tab&amp;search_scope=EVERYTHING&amp;vid=01CRU&amp;lang=en_US&amp;offset=0&amp;query=any,contains,991000903829702656","Catalog Record")</f>
        <v/>
      </c>
      <c r="AT328">
        <f>HYPERLINK("http://www.worldcat.org/oclc/10726109","WorldCat Record")</f>
        <v/>
      </c>
      <c r="AU328" t="inlineStr">
        <is>
          <t>365219228:eng</t>
        </is>
      </c>
      <c r="AV328" t="inlineStr">
        <is>
          <t>10726109</t>
        </is>
      </c>
      <c r="AW328" t="inlineStr">
        <is>
          <t>991000903829702656</t>
        </is>
      </c>
      <c r="AX328" t="inlineStr">
        <is>
          <t>991000903829702656</t>
        </is>
      </c>
      <c r="AY328" t="inlineStr">
        <is>
          <t>2264018740002656</t>
        </is>
      </c>
      <c r="AZ328" t="inlineStr">
        <is>
          <t>BOOK</t>
        </is>
      </c>
      <c r="BB328" t="inlineStr">
        <is>
          <t>9780841208551</t>
        </is>
      </c>
      <c r="BC328" t="inlineStr">
        <is>
          <t>30001000175499</t>
        </is>
      </c>
      <c r="BD328" t="inlineStr">
        <is>
          <t>893736030</t>
        </is>
      </c>
    </row>
    <row r="329">
      <c r="A329" t="inlineStr">
        <is>
          <t>No</t>
        </is>
      </c>
      <c r="B329" t="inlineStr">
        <is>
          <t>QU 120 T772 1988</t>
        </is>
      </c>
      <c r="C329" t="inlineStr">
        <is>
          <t>0                      QU 0120000T  772         1988</t>
        </is>
      </c>
      <c r="D329" t="inlineStr">
        <is>
          <t>Transduction in biological systems / edited by Cecilia Hidalgo ... [et al.].</t>
        </is>
      </c>
      <c r="F329" t="inlineStr">
        <is>
          <t>No</t>
        </is>
      </c>
      <c r="G329" t="inlineStr">
        <is>
          <t>1</t>
        </is>
      </c>
      <c r="H329" t="inlineStr">
        <is>
          <t>No</t>
        </is>
      </c>
      <c r="I329" t="inlineStr">
        <is>
          <t>No</t>
        </is>
      </c>
      <c r="J329" t="inlineStr">
        <is>
          <t>0</t>
        </is>
      </c>
      <c r="L329" t="inlineStr">
        <is>
          <t>New York : Plenum Press, c1990.</t>
        </is>
      </c>
      <c r="M329" t="inlineStr">
        <is>
          <t>1990</t>
        </is>
      </c>
      <c r="O329" t="inlineStr">
        <is>
          <t>eng</t>
        </is>
      </c>
      <c r="P329" t="inlineStr">
        <is>
          <t>xxu</t>
        </is>
      </c>
      <c r="Q329" t="inlineStr">
        <is>
          <t>Series of the Centro de Estudios Científicos de Santiago</t>
        </is>
      </c>
      <c r="R329" t="inlineStr">
        <is>
          <t xml:space="preserve">QU </t>
        </is>
      </c>
      <c r="S329" t="n">
        <v>3</v>
      </c>
      <c r="T329" t="n">
        <v>3</v>
      </c>
      <c r="U329" t="inlineStr">
        <is>
          <t>1991-04-11</t>
        </is>
      </c>
      <c r="V329" t="inlineStr">
        <is>
          <t>1991-04-11</t>
        </is>
      </c>
      <c r="W329" t="inlineStr">
        <is>
          <t>1991-03-28</t>
        </is>
      </c>
      <c r="X329" t="inlineStr">
        <is>
          <t>1991-03-28</t>
        </is>
      </c>
      <c r="Y329" t="n">
        <v>112</v>
      </c>
      <c r="Z329" t="n">
        <v>76</v>
      </c>
      <c r="AA329" t="n">
        <v>94</v>
      </c>
      <c r="AB329" t="n">
        <v>2</v>
      </c>
      <c r="AC329" t="n">
        <v>2</v>
      </c>
      <c r="AD329" t="n">
        <v>3</v>
      </c>
      <c r="AE329" t="n">
        <v>3</v>
      </c>
      <c r="AF329" t="n">
        <v>0</v>
      </c>
      <c r="AG329" t="n">
        <v>0</v>
      </c>
      <c r="AH329" t="n">
        <v>1</v>
      </c>
      <c r="AI329" t="n">
        <v>1</v>
      </c>
      <c r="AJ329" t="n">
        <v>1</v>
      </c>
      <c r="AK329" t="n">
        <v>1</v>
      </c>
      <c r="AL329" t="n">
        <v>1</v>
      </c>
      <c r="AM329" t="n">
        <v>1</v>
      </c>
      <c r="AN329" t="n">
        <v>0</v>
      </c>
      <c r="AO329" t="n">
        <v>0</v>
      </c>
      <c r="AP329" t="inlineStr">
        <is>
          <t>No</t>
        </is>
      </c>
      <c r="AQ329" t="inlineStr">
        <is>
          <t>Yes</t>
        </is>
      </c>
      <c r="AR329">
        <f>HYPERLINK("http://catalog.hathitrust.org/Record/002219906","HathiTrust Record")</f>
        <v/>
      </c>
      <c r="AS329">
        <f>HYPERLINK("https://creighton-primo.hosted.exlibrisgroup.com/primo-explore/search?tab=default_tab&amp;search_scope=EVERYTHING&amp;vid=01CRU&amp;lang=en_US&amp;offset=0&amp;query=any,contains,991000827489702656","Catalog Record")</f>
        <v/>
      </c>
      <c r="AT329">
        <f>HYPERLINK("http://www.worldcat.org/oclc/21408385","WorldCat Record")</f>
        <v/>
      </c>
      <c r="AU329" t="inlineStr">
        <is>
          <t>365776287:eng</t>
        </is>
      </c>
      <c r="AV329" t="inlineStr">
        <is>
          <t>21408385</t>
        </is>
      </c>
      <c r="AW329" t="inlineStr">
        <is>
          <t>991000827489702656</t>
        </is>
      </c>
      <c r="AX329" t="inlineStr">
        <is>
          <t>991000827489702656</t>
        </is>
      </c>
      <c r="AY329" t="inlineStr">
        <is>
          <t>2260876680002656</t>
        </is>
      </c>
      <c r="AZ329" t="inlineStr">
        <is>
          <t>BOOK</t>
        </is>
      </c>
      <c r="BB329" t="inlineStr">
        <is>
          <t>9780306434396</t>
        </is>
      </c>
      <c r="BC329" t="inlineStr">
        <is>
          <t>30001002089458</t>
        </is>
      </c>
      <c r="BD329" t="inlineStr">
        <is>
          <t>893148395</t>
        </is>
      </c>
    </row>
    <row r="330">
      <c r="A330" t="inlineStr">
        <is>
          <t>No</t>
        </is>
      </c>
      <c r="B330" t="inlineStr">
        <is>
          <t>QU 125 E56 1991</t>
        </is>
      </c>
      <c r="C330" t="inlineStr">
        <is>
          <t>0                      QU 0125000E  56          1991</t>
        </is>
      </c>
      <c r="D330" t="inlineStr">
        <is>
          <t>Energy in biological systems.</t>
        </is>
      </c>
      <c r="F330" t="inlineStr">
        <is>
          <t>No</t>
        </is>
      </c>
      <c r="G330" t="inlineStr">
        <is>
          <t>1</t>
        </is>
      </c>
      <c r="H330" t="inlineStr">
        <is>
          <t>No</t>
        </is>
      </c>
      <c r="I330" t="inlineStr">
        <is>
          <t>No</t>
        </is>
      </c>
      <c r="J330" t="inlineStr">
        <is>
          <t>0</t>
        </is>
      </c>
      <c r="L330" t="inlineStr">
        <is>
          <t>London ; New York : Chapman and Hall, c1991.</t>
        </is>
      </c>
      <c r="M330" t="inlineStr">
        <is>
          <t>1991</t>
        </is>
      </c>
      <c r="N330" t="inlineStr">
        <is>
          <t>1st ed.</t>
        </is>
      </c>
      <c r="O330" t="inlineStr">
        <is>
          <t>eng</t>
        </is>
      </c>
      <c r="P330" t="inlineStr">
        <is>
          <t>enk</t>
        </is>
      </c>
      <c r="Q330" t="inlineStr">
        <is>
          <t>Molecular and cell biochemistry</t>
        </is>
      </c>
      <c r="R330" t="inlineStr">
        <is>
          <t xml:space="preserve">QU </t>
        </is>
      </c>
      <c r="S330" t="n">
        <v>5</v>
      </c>
      <c r="T330" t="n">
        <v>5</v>
      </c>
      <c r="U330" t="inlineStr">
        <is>
          <t>1997-03-20</t>
        </is>
      </c>
      <c r="V330" t="inlineStr">
        <is>
          <t>1997-03-20</t>
        </is>
      </c>
      <c r="W330" t="inlineStr">
        <is>
          <t>1991-10-10</t>
        </is>
      </c>
      <c r="X330" t="inlineStr">
        <is>
          <t>1991-10-10</t>
        </is>
      </c>
      <c r="Y330" t="n">
        <v>222</v>
      </c>
      <c r="Z330" t="n">
        <v>106</v>
      </c>
      <c r="AA330" t="n">
        <v>111</v>
      </c>
      <c r="AB330" t="n">
        <v>2</v>
      </c>
      <c r="AC330" t="n">
        <v>2</v>
      </c>
      <c r="AD330" t="n">
        <v>6</v>
      </c>
      <c r="AE330" t="n">
        <v>6</v>
      </c>
      <c r="AF330" t="n">
        <v>2</v>
      </c>
      <c r="AG330" t="n">
        <v>2</v>
      </c>
      <c r="AH330" t="n">
        <v>2</v>
      </c>
      <c r="AI330" t="n">
        <v>2</v>
      </c>
      <c r="AJ330" t="n">
        <v>3</v>
      </c>
      <c r="AK330" t="n">
        <v>3</v>
      </c>
      <c r="AL330" t="n">
        <v>1</v>
      </c>
      <c r="AM330" t="n">
        <v>1</v>
      </c>
      <c r="AN330" t="n">
        <v>0</v>
      </c>
      <c r="AO330" t="n">
        <v>0</v>
      </c>
      <c r="AP330" t="inlineStr">
        <is>
          <t>No</t>
        </is>
      </c>
      <c r="AQ330" t="inlineStr">
        <is>
          <t>Yes</t>
        </is>
      </c>
      <c r="AR330">
        <f>HYPERLINK("http://catalog.hathitrust.org/Record/002557351","HathiTrust Record")</f>
        <v/>
      </c>
      <c r="AS330">
        <f>HYPERLINK("https://creighton-primo.hosted.exlibrisgroup.com/primo-explore/search?tab=default_tab&amp;search_scope=EVERYTHING&amp;vid=01CRU&amp;lang=en_US&amp;offset=0&amp;query=any,contains,991001013129702656","Catalog Record")</f>
        <v/>
      </c>
      <c r="AT330">
        <f>HYPERLINK("http://www.worldcat.org/oclc/23733261","WorldCat Record")</f>
        <v/>
      </c>
      <c r="AU330" t="inlineStr">
        <is>
          <t>757256924:eng</t>
        </is>
      </c>
      <c r="AV330" t="inlineStr">
        <is>
          <t>23733261</t>
        </is>
      </c>
      <c r="AW330" t="inlineStr">
        <is>
          <t>991001013129702656</t>
        </is>
      </c>
      <c r="AX330" t="inlineStr">
        <is>
          <t>991001013129702656</t>
        </is>
      </c>
      <c r="AY330" t="inlineStr">
        <is>
          <t>2267887740002656</t>
        </is>
      </c>
      <c r="AZ330" t="inlineStr">
        <is>
          <t>BOOK</t>
        </is>
      </c>
      <c r="BB330" t="inlineStr">
        <is>
          <t>9780412407703</t>
        </is>
      </c>
      <c r="BC330" t="inlineStr">
        <is>
          <t>30001002240143</t>
        </is>
      </c>
      <c r="BD330" t="inlineStr">
        <is>
          <t>893727176</t>
        </is>
      </c>
    </row>
    <row r="331">
      <c r="A331" t="inlineStr">
        <is>
          <t>No</t>
        </is>
      </c>
      <c r="B331" t="inlineStr">
        <is>
          <t>QU 125 J76b 1981</t>
        </is>
      </c>
      <c r="C331" t="inlineStr">
        <is>
          <t>0                      QU 0125000J  76b         1981</t>
        </is>
      </c>
      <c r="D331" t="inlineStr">
        <is>
          <t>Biological energy conservation : oxidative phosphorylation / C.W. Jones.</t>
        </is>
      </c>
      <c r="F331" t="inlineStr">
        <is>
          <t>No</t>
        </is>
      </c>
      <c r="G331" t="inlineStr">
        <is>
          <t>1</t>
        </is>
      </c>
      <c r="H331" t="inlineStr">
        <is>
          <t>No</t>
        </is>
      </c>
      <c r="I331" t="inlineStr">
        <is>
          <t>No</t>
        </is>
      </c>
      <c r="J331" t="inlineStr">
        <is>
          <t>0</t>
        </is>
      </c>
      <c r="K331" t="inlineStr">
        <is>
          <t>Jones, C. W. (Colin William), 1941-</t>
        </is>
      </c>
      <c r="L331" t="inlineStr">
        <is>
          <t>London ; New York : Chapman and Hall, c1981.</t>
        </is>
      </c>
      <c r="M331" t="inlineStr">
        <is>
          <t>1981</t>
        </is>
      </c>
      <c r="N331" t="inlineStr">
        <is>
          <t>2nd ed.</t>
        </is>
      </c>
      <c r="O331" t="inlineStr">
        <is>
          <t>eng</t>
        </is>
      </c>
      <c r="P331" t="inlineStr">
        <is>
          <t>enk</t>
        </is>
      </c>
      <c r="R331" t="inlineStr">
        <is>
          <t xml:space="preserve">QU </t>
        </is>
      </c>
      <c r="S331" t="n">
        <v>2</v>
      </c>
      <c r="T331" t="n">
        <v>2</v>
      </c>
      <c r="U331" t="inlineStr">
        <is>
          <t>1997-03-20</t>
        </is>
      </c>
      <c r="V331" t="inlineStr">
        <is>
          <t>1997-03-20</t>
        </is>
      </c>
      <c r="W331" t="inlineStr">
        <is>
          <t>1988-01-28</t>
        </is>
      </c>
      <c r="X331" t="inlineStr">
        <is>
          <t>1988-01-28</t>
        </is>
      </c>
      <c r="Y331" t="n">
        <v>201</v>
      </c>
      <c r="Z331" t="n">
        <v>128</v>
      </c>
      <c r="AA331" t="n">
        <v>215</v>
      </c>
      <c r="AB331" t="n">
        <v>3</v>
      </c>
      <c r="AC331" t="n">
        <v>3</v>
      </c>
      <c r="AD331" t="n">
        <v>10</v>
      </c>
      <c r="AE331" t="n">
        <v>10</v>
      </c>
      <c r="AF331" t="n">
        <v>4</v>
      </c>
      <c r="AG331" t="n">
        <v>4</v>
      </c>
      <c r="AH331" t="n">
        <v>2</v>
      </c>
      <c r="AI331" t="n">
        <v>2</v>
      </c>
      <c r="AJ331" t="n">
        <v>6</v>
      </c>
      <c r="AK331" t="n">
        <v>6</v>
      </c>
      <c r="AL331" t="n">
        <v>2</v>
      </c>
      <c r="AM331" t="n">
        <v>2</v>
      </c>
      <c r="AN331" t="n">
        <v>0</v>
      </c>
      <c r="AO331" t="n">
        <v>0</v>
      </c>
      <c r="AP331" t="inlineStr">
        <is>
          <t>No</t>
        </is>
      </c>
      <c r="AQ331" t="inlineStr">
        <is>
          <t>Yes</t>
        </is>
      </c>
      <c r="AR331">
        <f>HYPERLINK("http://catalog.hathitrust.org/Record/000570427","HathiTrust Record")</f>
        <v/>
      </c>
      <c r="AS331">
        <f>HYPERLINK("https://creighton-primo.hosted.exlibrisgroup.com/primo-explore/search?tab=default_tab&amp;search_scope=EVERYTHING&amp;vid=01CRU&amp;lang=en_US&amp;offset=0&amp;query=any,contains,991000904149702656","Catalog Record")</f>
        <v/>
      </c>
      <c r="AT331">
        <f>HYPERLINK("http://www.worldcat.org/oclc/7807074","WorldCat Record")</f>
        <v/>
      </c>
      <c r="AU331" t="inlineStr">
        <is>
          <t>325107113:eng</t>
        </is>
      </c>
      <c r="AV331" t="inlineStr">
        <is>
          <t>7807074</t>
        </is>
      </c>
      <c r="AW331" t="inlineStr">
        <is>
          <t>991000904149702656</t>
        </is>
      </c>
      <c r="AX331" t="inlineStr">
        <is>
          <t>991000904149702656</t>
        </is>
      </c>
      <c r="AY331" t="inlineStr">
        <is>
          <t>2269276480002656</t>
        </is>
      </c>
      <c r="AZ331" t="inlineStr">
        <is>
          <t>BOOK</t>
        </is>
      </c>
      <c r="BB331" t="inlineStr">
        <is>
          <t>9780412233609</t>
        </is>
      </c>
      <c r="BC331" t="inlineStr">
        <is>
          <t>30001000175655</t>
        </is>
      </c>
      <c r="BD331" t="inlineStr">
        <is>
          <t>893465002</t>
        </is>
      </c>
    </row>
    <row r="332">
      <c r="A332" t="inlineStr">
        <is>
          <t>No</t>
        </is>
      </c>
      <c r="B332" t="inlineStr">
        <is>
          <t>QU 125 N613b 1982</t>
        </is>
      </c>
      <c r="C332" t="inlineStr">
        <is>
          <t>0                      QU 0125000N  613b        1982</t>
        </is>
      </c>
      <c r="D332" t="inlineStr">
        <is>
          <t>Bioenergetics : an introduction to the chemiosmotic theory / David G. Nicholls.</t>
        </is>
      </c>
      <c r="F332" t="inlineStr">
        <is>
          <t>No</t>
        </is>
      </c>
      <c r="G332" t="inlineStr">
        <is>
          <t>1</t>
        </is>
      </c>
      <c r="H332" t="inlineStr">
        <is>
          <t>No</t>
        </is>
      </c>
      <c r="I332" t="inlineStr">
        <is>
          <t>No</t>
        </is>
      </c>
      <c r="J332" t="inlineStr">
        <is>
          <t>1</t>
        </is>
      </c>
      <c r="K332" t="inlineStr">
        <is>
          <t>Nicholls, David G.</t>
        </is>
      </c>
      <c r="L332" t="inlineStr">
        <is>
          <t>London ; New York : Academic Press, c1982.</t>
        </is>
      </c>
      <c r="M332" t="inlineStr">
        <is>
          <t>1982</t>
        </is>
      </c>
      <c r="O332" t="inlineStr">
        <is>
          <t>eng</t>
        </is>
      </c>
      <c r="P332" t="inlineStr">
        <is>
          <t>enk</t>
        </is>
      </c>
      <c r="R332" t="inlineStr">
        <is>
          <t xml:space="preserve">QU </t>
        </is>
      </c>
      <c r="S332" t="n">
        <v>5</v>
      </c>
      <c r="T332" t="n">
        <v>5</v>
      </c>
      <c r="U332" t="inlineStr">
        <is>
          <t>1993-01-11</t>
        </is>
      </c>
      <c r="V332" t="inlineStr">
        <is>
          <t>1993-01-11</t>
        </is>
      </c>
      <c r="W332" t="inlineStr">
        <is>
          <t>1988-01-28</t>
        </is>
      </c>
      <c r="X332" t="inlineStr">
        <is>
          <t>1988-01-28</t>
        </is>
      </c>
      <c r="Y332" t="n">
        <v>456</v>
      </c>
      <c r="Z332" t="n">
        <v>289</v>
      </c>
      <c r="AA332" t="n">
        <v>735</v>
      </c>
      <c r="AB332" t="n">
        <v>2</v>
      </c>
      <c r="AC332" t="n">
        <v>8</v>
      </c>
      <c r="AD332" t="n">
        <v>11</v>
      </c>
      <c r="AE332" t="n">
        <v>32</v>
      </c>
      <c r="AF332" t="n">
        <v>3</v>
      </c>
      <c r="AG332" t="n">
        <v>9</v>
      </c>
      <c r="AH332" t="n">
        <v>4</v>
      </c>
      <c r="AI332" t="n">
        <v>8</v>
      </c>
      <c r="AJ332" t="n">
        <v>9</v>
      </c>
      <c r="AK332" t="n">
        <v>14</v>
      </c>
      <c r="AL332" t="n">
        <v>1</v>
      </c>
      <c r="AM332" t="n">
        <v>7</v>
      </c>
      <c r="AN332" t="n">
        <v>0</v>
      </c>
      <c r="AO332" t="n">
        <v>1</v>
      </c>
      <c r="AP332" t="inlineStr">
        <is>
          <t>No</t>
        </is>
      </c>
      <c r="AQ332" t="inlineStr">
        <is>
          <t>Yes</t>
        </is>
      </c>
      <c r="AR332">
        <f>HYPERLINK("http://catalog.hathitrust.org/Record/000452313","HathiTrust Record")</f>
        <v/>
      </c>
      <c r="AS332">
        <f>HYPERLINK("https://creighton-primo.hosted.exlibrisgroup.com/primo-explore/search?tab=default_tab&amp;search_scope=EVERYTHING&amp;vid=01CRU&amp;lang=en_US&amp;offset=0&amp;query=any,contains,991000904219702656","Catalog Record")</f>
        <v/>
      </c>
      <c r="AT332">
        <f>HYPERLINK("http://www.worldcat.org/oclc/8368902","WorldCat Record")</f>
        <v/>
      </c>
      <c r="AU332" t="inlineStr">
        <is>
          <t>2999448786:eng</t>
        </is>
      </c>
      <c r="AV332" t="inlineStr">
        <is>
          <t>8368902</t>
        </is>
      </c>
      <c r="AW332" t="inlineStr">
        <is>
          <t>991000904219702656</t>
        </is>
      </c>
      <c r="AX332" t="inlineStr">
        <is>
          <t>991000904219702656</t>
        </is>
      </c>
      <c r="AY332" t="inlineStr">
        <is>
          <t>2260054010002656</t>
        </is>
      </c>
      <c r="AZ332" t="inlineStr">
        <is>
          <t>BOOK</t>
        </is>
      </c>
      <c r="BB332" t="inlineStr">
        <is>
          <t>9780125181204</t>
        </is>
      </c>
      <c r="BC332" t="inlineStr">
        <is>
          <t>30001000175671</t>
        </is>
      </c>
      <c r="BD332" t="inlineStr">
        <is>
          <t>893831718</t>
        </is>
      </c>
    </row>
    <row r="333">
      <c r="A333" t="inlineStr">
        <is>
          <t>No</t>
        </is>
      </c>
      <c r="B333" t="inlineStr">
        <is>
          <t>QU 125 P578 1991</t>
        </is>
      </c>
      <c r="C333" t="inlineStr">
        <is>
          <t>0                      QU 0125000P  578         1991</t>
        </is>
      </c>
      <c r="D333" t="inlineStr">
        <is>
          <t>Physiological strategies for gas exchange and metabolism / edited by A.J. Woakes, M.K. Grieshaber, and C.R. Bridges.</t>
        </is>
      </c>
      <c r="F333" t="inlineStr">
        <is>
          <t>No</t>
        </is>
      </c>
      <c r="G333" t="inlineStr">
        <is>
          <t>1</t>
        </is>
      </c>
      <c r="H333" t="inlineStr">
        <is>
          <t>No</t>
        </is>
      </c>
      <c r="I333" t="inlineStr">
        <is>
          <t>No</t>
        </is>
      </c>
      <c r="J333" t="inlineStr">
        <is>
          <t>0</t>
        </is>
      </c>
      <c r="L333" t="inlineStr">
        <is>
          <t>Cambridge [England] ; New York, NY, USA : Cambridge University Press, c1991.</t>
        </is>
      </c>
      <c r="M333" t="inlineStr">
        <is>
          <t>1991</t>
        </is>
      </c>
      <c r="O333" t="inlineStr">
        <is>
          <t>eng</t>
        </is>
      </c>
      <c r="P333" t="inlineStr">
        <is>
          <t>enk</t>
        </is>
      </c>
      <c r="Q333" t="inlineStr">
        <is>
          <t>Seminar series / Society for Environmental Biology ; 41.</t>
        </is>
      </c>
      <c r="R333" t="inlineStr">
        <is>
          <t xml:space="preserve">QU </t>
        </is>
      </c>
      <c r="S333" t="n">
        <v>6</v>
      </c>
      <c r="T333" t="n">
        <v>6</v>
      </c>
      <c r="U333" t="inlineStr">
        <is>
          <t>1995-04-06</t>
        </is>
      </c>
      <c r="V333" t="inlineStr">
        <is>
          <t>1995-04-06</t>
        </is>
      </c>
      <c r="W333" t="inlineStr">
        <is>
          <t>1992-10-16</t>
        </is>
      </c>
      <c r="X333" t="inlineStr">
        <is>
          <t>1992-10-16</t>
        </is>
      </c>
      <c r="Y333" t="n">
        <v>212</v>
      </c>
      <c r="Z333" t="n">
        <v>138</v>
      </c>
      <c r="AA333" t="n">
        <v>139</v>
      </c>
      <c r="AB333" t="n">
        <v>2</v>
      </c>
      <c r="AC333" t="n">
        <v>2</v>
      </c>
      <c r="AD333" t="n">
        <v>6</v>
      </c>
      <c r="AE333" t="n">
        <v>6</v>
      </c>
      <c r="AF333" t="n">
        <v>3</v>
      </c>
      <c r="AG333" t="n">
        <v>3</v>
      </c>
      <c r="AH333" t="n">
        <v>1</v>
      </c>
      <c r="AI333" t="n">
        <v>1</v>
      </c>
      <c r="AJ333" t="n">
        <v>1</v>
      </c>
      <c r="AK333" t="n">
        <v>1</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HYPERLINK("https://creighton-primo.hosted.exlibrisgroup.com/primo-explore/search?tab=default_tab&amp;search_scope=EVERYTHING&amp;vid=01CRU&amp;lang=en_US&amp;offset=0&amp;query=any,contains,991001342369702656","Catalog Record")</f>
        <v/>
      </c>
      <c r="AT333">
        <f>HYPERLINK("http://www.worldcat.org/oclc/21334370","WorldCat Record")</f>
        <v/>
      </c>
      <c r="AU333" t="inlineStr">
        <is>
          <t>5219209919:eng</t>
        </is>
      </c>
      <c r="AV333" t="inlineStr">
        <is>
          <t>21334370</t>
        </is>
      </c>
      <c r="AW333" t="inlineStr">
        <is>
          <t>991001342369702656</t>
        </is>
      </c>
      <c r="AX333" t="inlineStr">
        <is>
          <t>991001342369702656</t>
        </is>
      </c>
      <c r="AY333" t="inlineStr">
        <is>
          <t>2261998370002656</t>
        </is>
      </c>
      <c r="AZ333" t="inlineStr">
        <is>
          <t>BOOK</t>
        </is>
      </c>
      <c r="BB333" t="inlineStr">
        <is>
          <t>9780521366021</t>
        </is>
      </c>
      <c r="BC333" t="inlineStr">
        <is>
          <t>30001002456202</t>
        </is>
      </c>
      <c r="BD333" t="inlineStr">
        <is>
          <t>893287360</t>
        </is>
      </c>
    </row>
    <row r="334">
      <c r="A334" t="inlineStr">
        <is>
          <t>No</t>
        </is>
      </c>
      <c r="B334" t="inlineStr">
        <is>
          <t>QU 130 C144 1995</t>
        </is>
      </c>
      <c r="C334" t="inlineStr">
        <is>
          <t>0                      QU 0130000C  144         1995</t>
        </is>
      </c>
      <c r="D334" t="inlineStr">
        <is>
          <t>Calcium and magnesium metabolism in early life / edited by Reginald C. Tsang.</t>
        </is>
      </c>
      <c r="F334" t="inlineStr">
        <is>
          <t>No</t>
        </is>
      </c>
      <c r="G334" t="inlineStr">
        <is>
          <t>1</t>
        </is>
      </c>
      <c r="H334" t="inlineStr">
        <is>
          <t>No</t>
        </is>
      </c>
      <c r="I334" t="inlineStr">
        <is>
          <t>No</t>
        </is>
      </c>
      <c r="J334" t="inlineStr">
        <is>
          <t>0</t>
        </is>
      </c>
      <c r="L334" t="inlineStr">
        <is>
          <t>Boca Raton : CRC Press, c1995.</t>
        </is>
      </c>
      <c r="M334" t="inlineStr">
        <is>
          <t>1995</t>
        </is>
      </c>
      <c r="O334" t="inlineStr">
        <is>
          <t>eng</t>
        </is>
      </c>
      <c r="P334" t="inlineStr">
        <is>
          <t>flu</t>
        </is>
      </c>
      <c r="R334" t="inlineStr">
        <is>
          <t xml:space="preserve">QU </t>
        </is>
      </c>
      <c r="S334" t="n">
        <v>3</v>
      </c>
      <c r="T334" t="n">
        <v>3</v>
      </c>
      <c r="U334" t="inlineStr">
        <is>
          <t>1997-10-01</t>
        </is>
      </c>
      <c r="V334" t="inlineStr">
        <is>
          <t>1997-10-01</t>
        </is>
      </c>
      <c r="W334" t="inlineStr">
        <is>
          <t>1995-01-13</t>
        </is>
      </c>
      <c r="X334" t="inlineStr">
        <is>
          <t>1995-01-13</t>
        </is>
      </c>
      <c r="Y334" t="n">
        <v>69</v>
      </c>
      <c r="Z334" t="n">
        <v>54</v>
      </c>
      <c r="AA334" t="n">
        <v>54</v>
      </c>
      <c r="AB334" t="n">
        <v>1</v>
      </c>
      <c r="AC334" t="n">
        <v>1</v>
      </c>
      <c r="AD334" t="n">
        <v>1</v>
      </c>
      <c r="AE334" t="n">
        <v>1</v>
      </c>
      <c r="AF334" t="n">
        <v>0</v>
      </c>
      <c r="AG334" t="n">
        <v>0</v>
      </c>
      <c r="AH334" t="n">
        <v>1</v>
      </c>
      <c r="AI334" t="n">
        <v>1</v>
      </c>
      <c r="AJ334" t="n">
        <v>0</v>
      </c>
      <c r="AK334" t="n">
        <v>0</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HYPERLINK("https://creighton-primo.hosted.exlibrisgroup.com/primo-explore/search?tab=default_tab&amp;search_scope=EVERYTHING&amp;vid=01CRU&amp;lang=en_US&amp;offset=0&amp;query=any,contains,991000685199702656","Catalog Record")</f>
        <v/>
      </c>
      <c r="AT334">
        <f>HYPERLINK("http://www.worldcat.org/oclc/30703149","WorldCat Record")</f>
        <v/>
      </c>
      <c r="AU334" t="inlineStr">
        <is>
          <t>32556629:eng</t>
        </is>
      </c>
      <c r="AV334" t="inlineStr">
        <is>
          <t>30703149</t>
        </is>
      </c>
      <c r="AW334" t="inlineStr">
        <is>
          <t>991000685199702656</t>
        </is>
      </c>
      <c r="AX334" t="inlineStr">
        <is>
          <t>991000685199702656</t>
        </is>
      </c>
      <c r="AY334" t="inlineStr">
        <is>
          <t>2258180350002656</t>
        </is>
      </c>
      <c r="AZ334" t="inlineStr">
        <is>
          <t>BOOK</t>
        </is>
      </c>
      <c r="BB334" t="inlineStr">
        <is>
          <t>9780849346132</t>
        </is>
      </c>
      <c r="BC334" t="inlineStr">
        <is>
          <t>30001002698829</t>
        </is>
      </c>
      <c r="BD334" t="inlineStr">
        <is>
          <t>893368226</t>
        </is>
      </c>
    </row>
    <row r="335">
      <c r="A335" t="inlineStr">
        <is>
          <t>No</t>
        </is>
      </c>
      <c r="B335" t="inlineStr">
        <is>
          <t>QU 130 C641 1982</t>
        </is>
      </c>
      <c r="C335" t="inlineStr">
        <is>
          <t>0                      QU 0130000C  641         1982</t>
        </is>
      </c>
      <c r="D335" t="inlineStr">
        <is>
          <t>Clinical, biochemical, and nutritional aspects of trace elements / editor, Ananda S. Prasad.</t>
        </is>
      </c>
      <c r="F335" t="inlineStr">
        <is>
          <t>No</t>
        </is>
      </c>
      <c r="G335" t="inlineStr">
        <is>
          <t>1</t>
        </is>
      </c>
      <c r="H335" t="inlineStr">
        <is>
          <t>No</t>
        </is>
      </c>
      <c r="I335" t="inlineStr">
        <is>
          <t>No</t>
        </is>
      </c>
      <c r="J335" t="inlineStr">
        <is>
          <t>0</t>
        </is>
      </c>
      <c r="L335" t="inlineStr">
        <is>
          <t>New York : A.R. Liss, c1982.</t>
        </is>
      </c>
      <c r="M335" t="inlineStr">
        <is>
          <t>1982</t>
        </is>
      </c>
      <c r="O335" t="inlineStr">
        <is>
          <t>eng</t>
        </is>
      </c>
      <c r="P335" t="inlineStr">
        <is>
          <t>nyu</t>
        </is>
      </c>
      <c r="Q335" t="inlineStr">
        <is>
          <t>Current topics in nutrition and disease ; v. 6</t>
        </is>
      </c>
      <c r="R335" t="inlineStr">
        <is>
          <t xml:space="preserve">QU </t>
        </is>
      </c>
      <c r="S335" t="n">
        <v>4</v>
      </c>
      <c r="T335" t="n">
        <v>4</v>
      </c>
      <c r="U335" t="inlineStr">
        <is>
          <t>1994-09-23</t>
        </is>
      </c>
      <c r="V335" t="inlineStr">
        <is>
          <t>1994-09-23</t>
        </is>
      </c>
      <c r="W335" t="inlineStr">
        <is>
          <t>1988-01-28</t>
        </is>
      </c>
      <c r="X335" t="inlineStr">
        <is>
          <t>1988-01-28</t>
        </is>
      </c>
      <c r="Y335" t="n">
        <v>215</v>
      </c>
      <c r="Z335" t="n">
        <v>160</v>
      </c>
      <c r="AA335" t="n">
        <v>162</v>
      </c>
      <c r="AB335" t="n">
        <v>1</v>
      </c>
      <c r="AC335" t="n">
        <v>1</v>
      </c>
      <c r="AD335" t="n">
        <v>2</v>
      </c>
      <c r="AE335" t="n">
        <v>2</v>
      </c>
      <c r="AF335" t="n">
        <v>1</v>
      </c>
      <c r="AG335" t="n">
        <v>1</v>
      </c>
      <c r="AH335" t="n">
        <v>1</v>
      </c>
      <c r="AI335" t="n">
        <v>1</v>
      </c>
      <c r="AJ335" t="n">
        <v>2</v>
      </c>
      <c r="AK335" t="n">
        <v>2</v>
      </c>
      <c r="AL335" t="n">
        <v>0</v>
      </c>
      <c r="AM335" t="n">
        <v>0</v>
      </c>
      <c r="AN335" t="n">
        <v>0</v>
      </c>
      <c r="AO335" t="n">
        <v>0</v>
      </c>
      <c r="AP335" t="inlineStr">
        <is>
          <t>No</t>
        </is>
      </c>
      <c r="AQ335" t="inlineStr">
        <is>
          <t>Yes</t>
        </is>
      </c>
      <c r="AR335">
        <f>HYPERLINK("http://catalog.hathitrust.org/Record/000311975","HathiTrust Record")</f>
        <v/>
      </c>
      <c r="AS335">
        <f>HYPERLINK("https://creighton-primo.hosted.exlibrisgroup.com/primo-explore/search?tab=default_tab&amp;search_scope=EVERYTHING&amp;vid=01CRU&amp;lang=en_US&amp;offset=0&amp;query=any,contains,991000904439702656","Catalog Record")</f>
        <v/>
      </c>
      <c r="AT335">
        <f>HYPERLINK("http://www.worldcat.org/oclc/8629665","WorldCat Record")</f>
        <v/>
      </c>
      <c r="AU335" t="inlineStr">
        <is>
          <t>32595045:eng</t>
        </is>
      </c>
      <c r="AV335" t="inlineStr">
        <is>
          <t>8629665</t>
        </is>
      </c>
      <c r="AW335" t="inlineStr">
        <is>
          <t>991000904439702656</t>
        </is>
      </c>
      <c r="AX335" t="inlineStr">
        <is>
          <t>991000904439702656</t>
        </is>
      </c>
      <c r="AY335" t="inlineStr">
        <is>
          <t>2262370280002656</t>
        </is>
      </c>
      <c r="AZ335" t="inlineStr">
        <is>
          <t>BOOK</t>
        </is>
      </c>
      <c r="BB335" t="inlineStr">
        <is>
          <t>9780845116050</t>
        </is>
      </c>
      <c r="BC335" t="inlineStr">
        <is>
          <t>30001000175770</t>
        </is>
      </c>
      <c r="BD335" t="inlineStr">
        <is>
          <t>893465003</t>
        </is>
      </c>
    </row>
    <row r="336">
      <c r="A336" t="inlineStr">
        <is>
          <t>No</t>
        </is>
      </c>
      <c r="B336" t="inlineStr">
        <is>
          <t>QU 130 C785 1984</t>
        </is>
      </c>
      <c r="C336" t="inlineStr">
        <is>
          <t>0                      QU 0130000C  785         1984</t>
        </is>
      </c>
      <c r="D336" t="inlineStr">
        <is>
          <t>Copper proteins and copper enzymes : Volume 1,2,3 / editor, René Lontie.</t>
        </is>
      </c>
      <c r="E336" t="inlineStr">
        <is>
          <t>V. 3</t>
        </is>
      </c>
      <c r="F336" t="inlineStr">
        <is>
          <t>Yes</t>
        </is>
      </c>
      <c r="G336" t="inlineStr">
        <is>
          <t>1</t>
        </is>
      </c>
      <c r="H336" t="inlineStr">
        <is>
          <t>No</t>
        </is>
      </c>
      <c r="I336" t="inlineStr">
        <is>
          <t>No</t>
        </is>
      </c>
      <c r="J336" t="inlineStr">
        <is>
          <t>0</t>
        </is>
      </c>
      <c r="L336" t="inlineStr">
        <is>
          <t>Boca Raton, Fla. : CRC Press, c1984.</t>
        </is>
      </c>
      <c r="M336" t="inlineStr">
        <is>
          <t>1984</t>
        </is>
      </c>
      <c r="O336" t="inlineStr">
        <is>
          <t>eng</t>
        </is>
      </c>
      <c r="P336" t="inlineStr">
        <is>
          <t>flu</t>
        </is>
      </c>
      <c r="R336" t="inlineStr">
        <is>
          <t xml:space="preserve">QU </t>
        </is>
      </c>
      <c r="S336" t="n">
        <v>2</v>
      </c>
      <c r="T336" t="n">
        <v>2</v>
      </c>
      <c r="U336" t="inlineStr">
        <is>
          <t>1997-03-20</t>
        </is>
      </c>
      <c r="V336" t="inlineStr">
        <is>
          <t>1997-03-20</t>
        </is>
      </c>
      <c r="W336" t="inlineStr">
        <is>
          <t>1988-03-10</t>
        </is>
      </c>
      <c r="X336" t="inlineStr">
        <is>
          <t>2002-04-11</t>
        </is>
      </c>
      <c r="Y336" t="n">
        <v>199</v>
      </c>
      <c r="Z336" t="n">
        <v>151</v>
      </c>
      <c r="AA336" t="n">
        <v>154</v>
      </c>
      <c r="AB336" t="n">
        <v>2</v>
      </c>
      <c r="AC336" t="n">
        <v>2</v>
      </c>
      <c r="AD336" t="n">
        <v>4</v>
      </c>
      <c r="AE336" t="n">
        <v>4</v>
      </c>
      <c r="AF336" t="n">
        <v>1</v>
      </c>
      <c r="AG336" t="n">
        <v>1</v>
      </c>
      <c r="AH336" t="n">
        <v>0</v>
      </c>
      <c r="AI336" t="n">
        <v>0</v>
      </c>
      <c r="AJ336" t="n">
        <v>3</v>
      </c>
      <c r="AK336" t="n">
        <v>3</v>
      </c>
      <c r="AL336" t="n">
        <v>1</v>
      </c>
      <c r="AM336" t="n">
        <v>1</v>
      </c>
      <c r="AN336" t="n">
        <v>0</v>
      </c>
      <c r="AO336" t="n">
        <v>0</v>
      </c>
      <c r="AP336" t="inlineStr">
        <is>
          <t>No</t>
        </is>
      </c>
      <c r="AQ336" t="inlineStr">
        <is>
          <t>Yes</t>
        </is>
      </c>
      <c r="AR336">
        <f>HYPERLINK("http://catalog.hathitrust.org/Record/000166789","HathiTrust Record")</f>
        <v/>
      </c>
      <c r="AS336">
        <f>HYPERLINK("https://creighton-primo.hosted.exlibrisgroup.com/primo-explore/search?tab=default_tab&amp;search_scope=EVERYTHING&amp;vid=01CRU&amp;lang=en_US&amp;offset=0&amp;query=any,contains,991000904479702656","Catalog Record")</f>
        <v/>
      </c>
      <c r="AT336">
        <f>HYPERLINK("http://www.worldcat.org/oclc/9111986","WorldCat Record")</f>
        <v/>
      </c>
      <c r="AU336" t="inlineStr">
        <is>
          <t>54548173:eng</t>
        </is>
      </c>
      <c r="AV336" t="inlineStr">
        <is>
          <t>9111986</t>
        </is>
      </c>
      <c r="AW336" t="inlineStr">
        <is>
          <t>991000904479702656</t>
        </is>
      </c>
      <c r="AX336" t="inlineStr">
        <is>
          <t>991000904479702656</t>
        </is>
      </c>
      <c r="AY336" t="inlineStr">
        <is>
          <t>2266826520002656</t>
        </is>
      </c>
      <c r="AZ336" t="inlineStr">
        <is>
          <t>BOOK</t>
        </is>
      </c>
      <c r="BB336" t="inlineStr">
        <is>
          <t>9780849364709</t>
        </is>
      </c>
      <c r="BC336" t="inlineStr">
        <is>
          <t>30001000175788</t>
        </is>
      </c>
      <c r="BD336" t="inlineStr">
        <is>
          <t>893557403</t>
        </is>
      </c>
    </row>
    <row r="337">
      <c r="A337" t="inlineStr">
        <is>
          <t>No</t>
        </is>
      </c>
      <c r="B337" t="inlineStr">
        <is>
          <t>QU 130 C785 1984</t>
        </is>
      </c>
      <c r="C337" t="inlineStr">
        <is>
          <t>0                      QU 0130000C  785         1984</t>
        </is>
      </c>
      <c r="D337" t="inlineStr">
        <is>
          <t>Copper proteins and copper enzymes : Volume 1,2,3 / editor, René Lontie.</t>
        </is>
      </c>
      <c r="E337" t="inlineStr">
        <is>
          <t>V. 1</t>
        </is>
      </c>
      <c r="F337" t="inlineStr">
        <is>
          <t>Yes</t>
        </is>
      </c>
      <c r="G337" t="inlineStr">
        <is>
          <t>1</t>
        </is>
      </c>
      <c r="H337" t="inlineStr">
        <is>
          <t>No</t>
        </is>
      </c>
      <c r="I337" t="inlineStr">
        <is>
          <t>No</t>
        </is>
      </c>
      <c r="J337" t="inlineStr">
        <is>
          <t>0</t>
        </is>
      </c>
      <c r="L337" t="inlineStr">
        <is>
          <t>Boca Raton, Fla. : CRC Press, c1984.</t>
        </is>
      </c>
      <c r="M337" t="inlineStr">
        <is>
          <t>1984</t>
        </is>
      </c>
      <c r="O337" t="inlineStr">
        <is>
          <t>eng</t>
        </is>
      </c>
      <c r="P337" t="inlineStr">
        <is>
          <t>flu</t>
        </is>
      </c>
      <c r="R337" t="inlineStr">
        <is>
          <t xml:space="preserve">QU </t>
        </is>
      </c>
      <c r="S337" t="n">
        <v>0</v>
      </c>
      <c r="T337" t="n">
        <v>2</v>
      </c>
      <c r="V337" t="inlineStr">
        <is>
          <t>1997-03-20</t>
        </is>
      </c>
      <c r="W337" t="inlineStr">
        <is>
          <t>2002-04-11</t>
        </is>
      </c>
      <c r="X337" t="inlineStr">
        <is>
          <t>2002-04-11</t>
        </is>
      </c>
      <c r="Y337" t="n">
        <v>199</v>
      </c>
      <c r="Z337" t="n">
        <v>151</v>
      </c>
      <c r="AA337" t="n">
        <v>154</v>
      </c>
      <c r="AB337" t="n">
        <v>2</v>
      </c>
      <c r="AC337" t="n">
        <v>2</v>
      </c>
      <c r="AD337" t="n">
        <v>4</v>
      </c>
      <c r="AE337" t="n">
        <v>4</v>
      </c>
      <c r="AF337" t="n">
        <v>1</v>
      </c>
      <c r="AG337" t="n">
        <v>1</v>
      </c>
      <c r="AH337" t="n">
        <v>0</v>
      </c>
      <c r="AI337" t="n">
        <v>0</v>
      </c>
      <c r="AJ337" t="n">
        <v>3</v>
      </c>
      <c r="AK337" t="n">
        <v>3</v>
      </c>
      <c r="AL337" t="n">
        <v>1</v>
      </c>
      <c r="AM337" t="n">
        <v>1</v>
      </c>
      <c r="AN337" t="n">
        <v>0</v>
      </c>
      <c r="AO337" t="n">
        <v>0</v>
      </c>
      <c r="AP337" t="inlineStr">
        <is>
          <t>No</t>
        </is>
      </c>
      <c r="AQ337" t="inlineStr">
        <is>
          <t>Yes</t>
        </is>
      </c>
      <c r="AR337">
        <f>HYPERLINK("http://catalog.hathitrust.org/Record/000166789","HathiTrust Record")</f>
        <v/>
      </c>
      <c r="AS337">
        <f>HYPERLINK("https://creighton-primo.hosted.exlibrisgroup.com/primo-explore/search?tab=default_tab&amp;search_scope=EVERYTHING&amp;vid=01CRU&amp;lang=en_US&amp;offset=0&amp;query=any,contains,991000904479702656","Catalog Record")</f>
        <v/>
      </c>
      <c r="AT337">
        <f>HYPERLINK("http://www.worldcat.org/oclc/9111986","WorldCat Record")</f>
        <v/>
      </c>
      <c r="AU337" t="inlineStr">
        <is>
          <t>54548173:eng</t>
        </is>
      </c>
      <c r="AV337" t="inlineStr">
        <is>
          <t>9111986</t>
        </is>
      </c>
      <c r="AW337" t="inlineStr">
        <is>
          <t>991000904479702656</t>
        </is>
      </c>
      <c r="AX337" t="inlineStr">
        <is>
          <t>991000904479702656</t>
        </is>
      </c>
      <c r="AY337" t="inlineStr">
        <is>
          <t>2266826520002656</t>
        </is>
      </c>
      <c r="AZ337" t="inlineStr">
        <is>
          <t>BOOK</t>
        </is>
      </c>
      <c r="BB337" t="inlineStr">
        <is>
          <t>9780849364709</t>
        </is>
      </c>
      <c r="BC337" t="inlineStr">
        <is>
          <t>30001000175796</t>
        </is>
      </c>
      <c r="BD337" t="inlineStr">
        <is>
          <t>893557402</t>
        </is>
      </c>
    </row>
    <row r="338">
      <c r="A338" t="inlineStr">
        <is>
          <t>No</t>
        </is>
      </c>
      <c r="B338" t="inlineStr">
        <is>
          <t>QU 130 C785 1984</t>
        </is>
      </c>
      <c r="C338" t="inlineStr">
        <is>
          <t>0                      QU 0130000C  785         1984</t>
        </is>
      </c>
      <c r="D338" t="inlineStr">
        <is>
          <t>Copper proteins and copper enzymes : Volume 1,2,3 / editor, René Lontie.</t>
        </is>
      </c>
      <c r="E338" t="inlineStr">
        <is>
          <t>V. 2</t>
        </is>
      </c>
      <c r="F338" t="inlineStr">
        <is>
          <t>Yes</t>
        </is>
      </c>
      <c r="G338" t="inlineStr">
        <is>
          <t>1</t>
        </is>
      </c>
      <c r="H338" t="inlineStr">
        <is>
          <t>No</t>
        </is>
      </c>
      <c r="I338" t="inlineStr">
        <is>
          <t>No</t>
        </is>
      </c>
      <c r="J338" t="inlineStr">
        <is>
          <t>0</t>
        </is>
      </c>
      <c r="L338" t="inlineStr">
        <is>
          <t>Boca Raton, Fla. : CRC Press, c1984.</t>
        </is>
      </c>
      <c r="M338" t="inlineStr">
        <is>
          <t>1984</t>
        </is>
      </c>
      <c r="O338" t="inlineStr">
        <is>
          <t>eng</t>
        </is>
      </c>
      <c r="P338" t="inlineStr">
        <is>
          <t>flu</t>
        </is>
      </c>
      <c r="R338" t="inlineStr">
        <is>
          <t xml:space="preserve">QU </t>
        </is>
      </c>
      <c r="S338" t="n">
        <v>0</v>
      </c>
      <c r="T338" t="n">
        <v>2</v>
      </c>
      <c r="V338" t="inlineStr">
        <is>
          <t>1997-03-20</t>
        </is>
      </c>
      <c r="W338" t="inlineStr">
        <is>
          <t>1988-03-10</t>
        </is>
      </c>
      <c r="X338" t="inlineStr">
        <is>
          <t>2002-04-11</t>
        </is>
      </c>
      <c r="Y338" t="n">
        <v>199</v>
      </c>
      <c r="Z338" t="n">
        <v>151</v>
      </c>
      <c r="AA338" t="n">
        <v>154</v>
      </c>
      <c r="AB338" t="n">
        <v>2</v>
      </c>
      <c r="AC338" t="n">
        <v>2</v>
      </c>
      <c r="AD338" t="n">
        <v>4</v>
      </c>
      <c r="AE338" t="n">
        <v>4</v>
      </c>
      <c r="AF338" t="n">
        <v>1</v>
      </c>
      <c r="AG338" t="n">
        <v>1</v>
      </c>
      <c r="AH338" t="n">
        <v>0</v>
      </c>
      <c r="AI338" t="n">
        <v>0</v>
      </c>
      <c r="AJ338" t="n">
        <v>3</v>
      </c>
      <c r="AK338" t="n">
        <v>3</v>
      </c>
      <c r="AL338" t="n">
        <v>1</v>
      </c>
      <c r="AM338" t="n">
        <v>1</v>
      </c>
      <c r="AN338" t="n">
        <v>0</v>
      </c>
      <c r="AO338" t="n">
        <v>0</v>
      </c>
      <c r="AP338" t="inlineStr">
        <is>
          <t>No</t>
        </is>
      </c>
      <c r="AQ338" t="inlineStr">
        <is>
          <t>Yes</t>
        </is>
      </c>
      <c r="AR338">
        <f>HYPERLINK("http://catalog.hathitrust.org/Record/000166789","HathiTrust Record")</f>
        <v/>
      </c>
      <c r="AS338">
        <f>HYPERLINK("https://creighton-primo.hosted.exlibrisgroup.com/primo-explore/search?tab=default_tab&amp;search_scope=EVERYTHING&amp;vid=01CRU&amp;lang=en_US&amp;offset=0&amp;query=any,contains,991000904479702656","Catalog Record")</f>
        <v/>
      </c>
      <c r="AT338">
        <f>HYPERLINK("http://www.worldcat.org/oclc/9111986","WorldCat Record")</f>
        <v/>
      </c>
      <c r="AU338" t="inlineStr">
        <is>
          <t>54548173:eng</t>
        </is>
      </c>
      <c r="AV338" t="inlineStr">
        <is>
          <t>9111986</t>
        </is>
      </c>
      <c r="AW338" t="inlineStr">
        <is>
          <t>991000904479702656</t>
        </is>
      </c>
      <c r="AX338" t="inlineStr">
        <is>
          <t>991000904479702656</t>
        </is>
      </c>
      <c r="AY338" t="inlineStr">
        <is>
          <t>2266826520002656</t>
        </is>
      </c>
      <c r="AZ338" t="inlineStr">
        <is>
          <t>BOOK</t>
        </is>
      </c>
      <c r="BB338" t="inlineStr">
        <is>
          <t>9780849364709</t>
        </is>
      </c>
      <c r="BC338" t="inlineStr">
        <is>
          <t>30001000175804</t>
        </is>
      </c>
      <c r="BD338" t="inlineStr">
        <is>
          <t>893540784</t>
        </is>
      </c>
    </row>
    <row r="339">
      <c r="A339" t="inlineStr">
        <is>
          <t>No</t>
        </is>
      </c>
      <c r="B339" t="inlineStr">
        <is>
          <t>QU 130 C912 1996</t>
        </is>
      </c>
      <c r="C339" t="inlineStr">
        <is>
          <t>0                      QU 0130000C  912         1996</t>
        </is>
      </c>
      <c r="D339" t="inlineStr">
        <is>
          <t>Creatine and creatine phosphate : scientific and clinical perspectives / [edited by] Michael A. Conway and Joseph F. Clark.</t>
        </is>
      </c>
      <c r="F339" t="inlineStr">
        <is>
          <t>No</t>
        </is>
      </c>
      <c r="G339" t="inlineStr">
        <is>
          <t>1</t>
        </is>
      </c>
      <c r="H339" t="inlineStr">
        <is>
          <t>No</t>
        </is>
      </c>
      <c r="I339" t="inlineStr">
        <is>
          <t>No</t>
        </is>
      </c>
      <c r="J339" t="inlineStr">
        <is>
          <t>0</t>
        </is>
      </c>
      <c r="L339" t="inlineStr">
        <is>
          <t>San Diego, CA : Academic Press, c1996.</t>
        </is>
      </c>
      <c r="M339" t="inlineStr">
        <is>
          <t>1996</t>
        </is>
      </c>
      <c r="O339" t="inlineStr">
        <is>
          <t>eng</t>
        </is>
      </c>
      <c r="P339" t="inlineStr">
        <is>
          <t>cau</t>
        </is>
      </c>
      <c r="R339" t="inlineStr">
        <is>
          <t xml:space="preserve">QU </t>
        </is>
      </c>
      <c r="S339" t="n">
        <v>11</v>
      </c>
      <c r="T339" t="n">
        <v>11</v>
      </c>
      <c r="U339" t="inlineStr">
        <is>
          <t>2006-01-27</t>
        </is>
      </c>
      <c r="V339" t="inlineStr">
        <is>
          <t>2006-01-27</t>
        </is>
      </c>
      <c r="W339" t="inlineStr">
        <is>
          <t>1998-01-16</t>
        </is>
      </c>
      <c r="X339" t="inlineStr">
        <is>
          <t>1998-01-16</t>
        </is>
      </c>
      <c r="Y339" t="n">
        <v>125</v>
      </c>
      <c r="Z339" t="n">
        <v>93</v>
      </c>
      <c r="AA339" t="n">
        <v>160</v>
      </c>
      <c r="AB339" t="n">
        <v>2</v>
      </c>
      <c r="AC339" t="n">
        <v>3</v>
      </c>
      <c r="AD339" t="n">
        <v>5</v>
      </c>
      <c r="AE339" t="n">
        <v>8</v>
      </c>
      <c r="AF339" t="n">
        <v>1</v>
      </c>
      <c r="AG339" t="n">
        <v>2</v>
      </c>
      <c r="AH339" t="n">
        <v>2</v>
      </c>
      <c r="AI339" t="n">
        <v>3</v>
      </c>
      <c r="AJ339" t="n">
        <v>1</v>
      </c>
      <c r="AK339" t="n">
        <v>1</v>
      </c>
      <c r="AL339" t="n">
        <v>1</v>
      </c>
      <c r="AM339" t="n">
        <v>2</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HYPERLINK("https://creighton-primo.hosted.exlibrisgroup.com/primo-explore/search?tab=default_tab&amp;search_scope=EVERYTHING&amp;vid=01CRU&amp;lang=en_US&amp;offset=0&amp;query=any,contains,991001226619702656","Catalog Record")</f>
        <v/>
      </c>
      <c r="AT339">
        <f>HYPERLINK("http://www.worldcat.org/oclc/35861344","WorldCat Record")</f>
        <v/>
      </c>
      <c r="AU339" t="inlineStr">
        <is>
          <t>1010727712:eng</t>
        </is>
      </c>
      <c r="AV339" t="inlineStr">
        <is>
          <t>35861344</t>
        </is>
      </c>
      <c r="AW339" t="inlineStr">
        <is>
          <t>991001226619702656</t>
        </is>
      </c>
      <c r="AX339" t="inlineStr">
        <is>
          <t>991001226619702656</t>
        </is>
      </c>
      <c r="AY339" t="inlineStr">
        <is>
          <t>2265446600002656</t>
        </is>
      </c>
      <c r="AZ339" t="inlineStr">
        <is>
          <t>BOOK</t>
        </is>
      </c>
      <c r="BB339" t="inlineStr">
        <is>
          <t>9780121863401</t>
        </is>
      </c>
      <c r="BC339" t="inlineStr">
        <is>
          <t>30001003669571</t>
        </is>
      </c>
      <c r="BD339" t="inlineStr">
        <is>
          <t>893557712</t>
        </is>
      </c>
    </row>
    <row r="340">
      <c r="A340" t="inlineStr">
        <is>
          <t>No</t>
        </is>
      </c>
      <c r="B340" t="inlineStr">
        <is>
          <t>QU 130 D415h 1982</t>
        </is>
      </c>
      <c r="C340" t="inlineStr">
        <is>
          <t>0                      QU 0130000D  415h        1982</t>
        </is>
      </c>
      <c r="D340" t="inlineStr">
        <is>
          <t>The hunger for salt : an anthropological, physiological, and medical analysis / Derek A. Denton.</t>
        </is>
      </c>
      <c r="F340" t="inlineStr">
        <is>
          <t>No</t>
        </is>
      </c>
      <c r="G340" t="inlineStr">
        <is>
          <t>1</t>
        </is>
      </c>
      <c r="H340" t="inlineStr">
        <is>
          <t>Yes</t>
        </is>
      </c>
      <c r="I340" t="inlineStr">
        <is>
          <t>No</t>
        </is>
      </c>
      <c r="J340" t="inlineStr">
        <is>
          <t>0</t>
        </is>
      </c>
      <c r="K340" t="inlineStr">
        <is>
          <t>Denton, Derek A.</t>
        </is>
      </c>
      <c r="L340" t="inlineStr">
        <is>
          <t>Berlin ; New York : Springer-Verlag, c1982.</t>
        </is>
      </c>
      <c r="M340" t="inlineStr">
        <is>
          <t>1982</t>
        </is>
      </c>
      <c r="O340" t="inlineStr">
        <is>
          <t>eng</t>
        </is>
      </c>
      <c r="P340" t="inlineStr">
        <is>
          <t xml:space="preserve">gw </t>
        </is>
      </c>
      <c r="R340" t="inlineStr">
        <is>
          <t xml:space="preserve">QU </t>
        </is>
      </c>
      <c r="S340" t="n">
        <v>3</v>
      </c>
      <c r="T340" t="n">
        <v>3</v>
      </c>
      <c r="U340" t="inlineStr">
        <is>
          <t>1993-02-26</t>
        </is>
      </c>
      <c r="V340" t="inlineStr">
        <is>
          <t>1993-02-26</t>
        </is>
      </c>
      <c r="W340" t="inlineStr">
        <is>
          <t>1988-01-28</t>
        </is>
      </c>
      <c r="X340" t="inlineStr">
        <is>
          <t>1988-01-28</t>
        </is>
      </c>
      <c r="Y340" t="n">
        <v>386</v>
      </c>
      <c r="Z340" t="n">
        <v>284</v>
      </c>
      <c r="AA340" t="n">
        <v>289</v>
      </c>
      <c r="AB340" t="n">
        <v>3</v>
      </c>
      <c r="AC340" t="n">
        <v>3</v>
      </c>
      <c r="AD340" t="n">
        <v>7</v>
      </c>
      <c r="AE340" t="n">
        <v>7</v>
      </c>
      <c r="AF340" t="n">
        <v>2</v>
      </c>
      <c r="AG340" t="n">
        <v>2</v>
      </c>
      <c r="AH340" t="n">
        <v>2</v>
      </c>
      <c r="AI340" t="n">
        <v>2</v>
      </c>
      <c r="AJ340" t="n">
        <v>2</v>
      </c>
      <c r="AK340" t="n">
        <v>2</v>
      </c>
      <c r="AL340" t="n">
        <v>1</v>
      </c>
      <c r="AM340" t="n">
        <v>1</v>
      </c>
      <c r="AN340" t="n">
        <v>0</v>
      </c>
      <c r="AO340" t="n">
        <v>0</v>
      </c>
      <c r="AP340" t="inlineStr">
        <is>
          <t>No</t>
        </is>
      </c>
      <c r="AQ340" t="inlineStr">
        <is>
          <t>Yes</t>
        </is>
      </c>
      <c r="AR340">
        <f>HYPERLINK("http://catalog.hathitrust.org/Record/000121583","HathiTrust Record")</f>
        <v/>
      </c>
      <c r="AS340">
        <f>HYPERLINK("https://creighton-primo.hosted.exlibrisgroup.com/primo-explore/search?tab=default_tab&amp;search_scope=EVERYTHING&amp;vid=01CRU&amp;lang=en_US&amp;offset=0&amp;query=any,contains,991000904609702656","Catalog Record")</f>
        <v/>
      </c>
      <c r="AT340">
        <f>HYPERLINK("http://www.worldcat.org/oclc/8283860","WorldCat Record")</f>
        <v/>
      </c>
      <c r="AU340" t="inlineStr">
        <is>
          <t>4689012:eng</t>
        </is>
      </c>
      <c r="AV340" t="inlineStr">
        <is>
          <t>8283860</t>
        </is>
      </c>
      <c r="AW340" t="inlineStr">
        <is>
          <t>991000904609702656</t>
        </is>
      </c>
      <c r="AX340" t="inlineStr">
        <is>
          <t>991000904609702656</t>
        </is>
      </c>
      <c r="AY340" t="inlineStr">
        <is>
          <t>2267954170002656</t>
        </is>
      </c>
      <c r="AZ340" t="inlineStr">
        <is>
          <t>BOOK</t>
        </is>
      </c>
      <c r="BB340" t="inlineStr">
        <is>
          <t>9780387112862</t>
        </is>
      </c>
      <c r="BC340" t="inlineStr">
        <is>
          <t>30001000175820</t>
        </is>
      </c>
      <c r="BD340" t="inlineStr">
        <is>
          <t>893637779</t>
        </is>
      </c>
    </row>
    <row r="341">
      <c r="A341" t="inlineStr">
        <is>
          <t>No</t>
        </is>
      </c>
      <c r="B341" t="inlineStr">
        <is>
          <t>QU 130 I634</t>
        </is>
      </c>
      <c r="C341" t="inlineStr">
        <is>
          <t>0                      QU 0130000I  634</t>
        </is>
      </c>
      <c r="D341" t="inlineStr">
        <is>
          <t>Trace element metabolism in animals--2 : proceedings of the second International Symposium on Trace Element Metabolism in Animals, held in Madison, Wisconsin, on 18-22 June, 1973 / Edited by W. G. Hoekstra [and others]</t>
        </is>
      </c>
      <c r="F341" t="inlineStr">
        <is>
          <t>No</t>
        </is>
      </c>
      <c r="G341" t="inlineStr">
        <is>
          <t>1</t>
        </is>
      </c>
      <c r="H341" t="inlineStr">
        <is>
          <t>No</t>
        </is>
      </c>
      <c r="I341" t="inlineStr">
        <is>
          <t>No</t>
        </is>
      </c>
      <c r="J341" t="inlineStr">
        <is>
          <t>0</t>
        </is>
      </c>
      <c r="K341" t="inlineStr">
        <is>
          <t>International Symposium on Trace Element Metabolism in Animals (2nd : 1973 : University of Wisconsin--Madison)</t>
        </is>
      </c>
      <c r="L341" t="inlineStr">
        <is>
          <t>Baltimore : University Park Press, [1974]</t>
        </is>
      </c>
      <c r="M341" t="inlineStr">
        <is>
          <t>1974</t>
        </is>
      </c>
      <c r="O341" t="inlineStr">
        <is>
          <t>eng</t>
        </is>
      </c>
      <c r="P341" t="inlineStr">
        <is>
          <t>mdu</t>
        </is>
      </c>
      <c r="R341" t="inlineStr">
        <is>
          <t xml:space="preserve">QU </t>
        </is>
      </c>
      <c r="S341" t="n">
        <v>1</v>
      </c>
      <c r="T341" t="n">
        <v>1</v>
      </c>
      <c r="U341" t="inlineStr">
        <is>
          <t>1992-07-07</t>
        </is>
      </c>
      <c r="V341" t="inlineStr">
        <is>
          <t>1992-07-07</t>
        </is>
      </c>
      <c r="W341" t="inlineStr">
        <is>
          <t>1988-01-04</t>
        </is>
      </c>
      <c r="X341" t="inlineStr">
        <is>
          <t>1988-01-04</t>
        </is>
      </c>
      <c r="Y341" t="n">
        <v>364</v>
      </c>
      <c r="Z341" t="n">
        <v>277</v>
      </c>
      <c r="AA341" t="n">
        <v>282</v>
      </c>
      <c r="AB341" t="n">
        <v>3</v>
      </c>
      <c r="AC341" t="n">
        <v>3</v>
      </c>
      <c r="AD341" t="n">
        <v>8</v>
      </c>
      <c r="AE341" t="n">
        <v>8</v>
      </c>
      <c r="AF341" t="n">
        <v>1</v>
      </c>
      <c r="AG341" t="n">
        <v>1</v>
      </c>
      <c r="AH341" t="n">
        <v>3</v>
      </c>
      <c r="AI341" t="n">
        <v>3</v>
      </c>
      <c r="AJ341" t="n">
        <v>4</v>
      </c>
      <c r="AK341" t="n">
        <v>4</v>
      </c>
      <c r="AL341" t="n">
        <v>2</v>
      </c>
      <c r="AM341" t="n">
        <v>2</v>
      </c>
      <c r="AN341" t="n">
        <v>0</v>
      </c>
      <c r="AO341" t="n">
        <v>0</v>
      </c>
      <c r="AP341" t="inlineStr">
        <is>
          <t>No</t>
        </is>
      </c>
      <c r="AQ341" t="inlineStr">
        <is>
          <t>Yes</t>
        </is>
      </c>
      <c r="AR341">
        <f>HYPERLINK("http://catalog.hathitrust.org/Record/006246386","HathiTrust Record")</f>
        <v/>
      </c>
      <c r="AS341">
        <f>HYPERLINK("https://creighton-primo.hosted.exlibrisgroup.com/primo-explore/search?tab=default_tab&amp;search_scope=EVERYTHING&amp;vid=01CRU&amp;lang=en_US&amp;offset=0&amp;query=any,contains,991000904759702656","Catalog Record")</f>
        <v/>
      </c>
      <c r="AT341">
        <f>HYPERLINK("http://www.worldcat.org/oclc/948087","WorldCat Record")</f>
        <v/>
      </c>
      <c r="AU341" t="inlineStr">
        <is>
          <t>12465341:eng</t>
        </is>
      </c>
      <c r="AV341" t="inlineStr">
        <is>
          <t>948087</t>
        </is>
      </c>
      <c r="AW341" t="inlineStr">
        <is>
          <t>991000904759702656</t>
        </is>
      </c>
      <c r="AX341" t="inlineStr">
        <is>
          <t>991000904759702656</t>
        </is>
      </c>
      <c r="AY341" t="inlineStr">
        <is>
          <t>2264933020002656</t>
        </is>
      </c>
      <c r="AZ341" t="inlineStr">
        <is>
          <t>BOOK</t>
        </is>
      </c>
      <c r="BB341" t="inlineStr">
        <is>
          <t>9780839106968</t>
        </is>
      </c>
      <c r="BC341" t="inlineStr">
        <is>
          <t>30001000175879</t>
        </is>
      </c>
      <c r="BD341" t="inlineStr">
        <is>
          <t>893557404</t>
        </is>
      </c>
    </row>
    <row r="342">
      <c r="A342" t="inlineStr">
        <is>
          <t>No</t>
        </is>
      </c>
      <c r="B342" t="inlineStr">
        <is>
          <t>QU 130 I6363c 1981</t>
        </is>
      </c>
      <c r="C342" t="inlineStr">
        <is>
          <t>0                      QU 0130000I  6363c       1981</t>
        </is>
      </c>
      <c r="D342" t="inlineStr">
        <is>
          <t>Calcium and phosphate transport across biomembranes / edited by Felix Bronner, Meinrad Peterlik.</t>
        </is>
      </c>
      <c r="F342" t="inlineStr">
        <is>
          <t>No</t>
        </is>
      </c>
      <c r="G342" t="inlineStr">
        <is>
          <t>1</t>
        </is>
      </c>
      <c r="H342" t="inlineStr">
        <is>
          <t>No</t>
        </is>
      </c>
      <c r="I342" t="inlineStr">
        <is>
          <t>No</t>
        </is>
      </c>
      <c r="J342" t="inlineStr">
        <is>
          <t>0</t>
        </is>
      </c>
      <c r="K342" t="inlineStr">
        <is>
          <t>International Workshop on Calcium and Phosphate Transport across Biomembranes (1st : 1981 : Vienna, Austria)</t>
        </is>
      </c>
      <c r="L342" t="inlineStr">
        <is>
          <t>New York : Academic Press, c1981.</t>
        </is>
      </c>
      <c r="M342" t="inlineStr">
        <is>
          <t>1981</t>
        </is>
      </c>
      <c r="O342" t="inlineStr">
        <is>
          <t>eng</t>
        </is>
      </c>
      <c r="P342" t="inlineStr">
        <is>
          <t>xxu</t>
        </is>
      </c>
      <c r="R342" t="inlineStr">
        <is>
          <t xml:space="preserve">QU </t>
        </is>
      </c>
      <c r="S342" t="n">
        <v>1</v>
      </c>
      <c r="T342" t="n">
        <v>1</v>
      </c>
      <c r="U342" t="inlineStr">
        <is>
          <t>1998-03-18</t>
        </is>
      </c>
      <c r="V342" t="inlineStr">
        <is>
          <t>1998-03-18</t>
        </is>
      </c>
      <c r="W342" t="inlineStr">
        <is>
          <t>1988-01-25</t>
        </is>
      </c>
      <c r="X342" t="inlineStr">
        <is>
          <t>1988-01-25</t>
        </is>
      </c>
      <c r="Y342" t="n">
        <v>18</v>
      </c>
      <c r="Z342" t="n">
        <v>14</v>
      </c>
      <c r="AA342" t="n">
        <v>223</v>
      </c>
      <c r="AB342" t="n">
        <v>1</v>
      </c>
      <c r="AC342" t="n">
        <v>4</v>
      </c>
      <c r="AD342" t="n">
        <v>0</v>
      </c>
      <c r="AE342" t="n">
        <v>11</v>
      </c>
      <c r="AF342" t="n">
        <v>0</v>
      </c>
      <c r="AG342" t="n">
        <v>2</v>
      </c>
      <c r="AH342" t="n">
        <v>0</v>
      </c>
      <c r="AI342" t="n">
        <v>5</v>
      </c>
      <c r="AJ342" t="n">
        <v>0</v>
      </c>
      <c r="AK342" t="n">
        <v>4</v>
      </c>
      <c r="AL342" t="n">
        <v>0</v>
      </c>
      <c r="AM342" t="n">
        <v>3</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HYPERLINK("https://creighton-primo.hosted.exlibrisgroup.com/primo-explore/search?tab=default_tab&amp;search_scope=EVERYTHING&amp;vid=01CRU&amp;lang=en_US&amp;offset=0&amp;query=any,contains,991000904809702656","Catalog Record")</f>
        <v/>
      </c>
      <c r="AT342">
        <f>HYPERLINK("http://www.worldcat.org/oclc/7796464","WorldCat Record")</f>
        <v/>
      </c>
      <c r="AU342" t="inlineStr">
        <is>
          <t>355486540:eng</t>
        </is>
      </c>
      <c r="AV342" t="inlineStr">
        <is>
          <t>7796464</t>
        </is>
      </c>
      <c r="AW342" t="inlineStr">
        <is>
          <t>991000904809702656</t>
        </is>
      </c>
      <c r="AX342" t="inlineStr">
        <is>
          <t>991000904809702656</t>
        </is>
      </c>
      <c r="AY342" t="inlineStr">
        <is>
          <t>2266284500002656</t>
        </is>
      </c>
      <c r="AZ342" t="inlineStr">
        <is>
          <t>BOOK</t>
        </is>
      </c>
      <c r="BB342" t="inlineStr">
        <is>
          <t>9780121352806</t>
        </is>
      </c>
      <c r="BC342" t="inlineStr">
        <is>
          <t>30001000175895</t>
        </is>
      </c>
      <c r="BD342" t="inlineStr">
        <is>
          <t>893120715</t>
        </is>
      </c>
    </row>
    <row r="343">
      <c r="A343" t="inlineStr">
        <is>
          <t>No</t>
        </is>
      </c>
      <c r="B343" t="inlineStr">
        <is>
          <t>QU 130 I72ca 1973</t>
        </is>
      </c>
      <c r="C343" t="inlineStr">
        <is>
          <t>0                      QU 0130000I  72ca        1973</t>
        </is>
      </c>
      <c r="D343" t="inlineStr">
        <is>
          <t>Calcium and phosphorus metabolism / [by] James T. Irving. With chapter by Felix Bronner [and] Gideon A. Rodan.</t>
        </is>
      </c>
      <c r="F343" t="inlineStr">
        <is>
          <t>No</t>
        </is>
      </c>
      <c r="G343" t="inlineStr">
        <is>
          <t>1</t>
        </is>
      </c>
      <c r="H343" t="inlineStr">
        <is>
          <t>No</t>
        </is>
      </c>
      <c r="I343" t="inlineStr">
        <is>
          <t>No</t>
        </is>
      </c>
      <c r="J343" t="inlineStr">
        <is>
          <t>0</t>
        </is>
      </c>
      <c r="K343" t="inlineStr">
        <is>
          <t>Irving, James T. (James Tutin), 1902-</t>
        </is>
      </c>
      <c r="L343" t="inlineStr">
        <is>
          <t>New York : Academic Press, 1973.</t>
        </is>
      </c>
      <c r="M343" t="inlineStr">
        <is>
          <t>1973</t>
        </is>
      </c>
      <c r="O343" t="inlineStr">
        <is>
          <t>eng</t>
        </is>
      </c>
      <c r="P343" t="inlineStr">
        <is>
          <t>nyu</t>
        </is>
      </c>
      <c r="R343" t="inlineStr">
        <is>
          <t xml:space="preserve">QU </t>
        </is>
      </c>
      <c r="S343" t="n">
        <v>1</v>
      </c>
      <c r="T343" t="n">
        <v>1</v>
      </c>
      <c r="U343" t="inlineStr">
        <is>
          <t>1998-03-18</t>
        </is>
      </c>
      <c r="V343" t="inlineStr">
        <is>
          <t>1998-03-18</t>
        </is>
      </c>
      <c r="W343" t="inlineStr">
        <is>
          <t>1988-01-04</t>
        </is>
      </c>
      <c r="X343" t="inlineStr">
        <is>
          <t>1988-01-04</t>
        </is>
      </c>
      <c r="Y343" t="n">
        <v>349</v>
      </c>
      <c r="Z343" t="n">
        <v>236</v>
      </c>
      <c r="AA343" t="n">
        <v>287</v>
      </c>
      <c r="AB343" t="n">
        <v>2</v>
      </c>
      <c r="AC343" t="n">
        <v>3</v>
      </c>
      <c r="AD343" t="n">
        <v>8</v>
      </c>
      <c r="AE343" t="n">
        <v>12</v>
      </c>
      <c r="AF343" t="n">
        <v>0</v>
      </c>
      <c r="AG343" t="n">
        <v>2</v>
      </c>
      <c r="AH343" t="n">
        <v>3</v>
      </c>
      <c r="AI343" t="n">
        <v>5</v>
      </c>
      <c r="AJ343" t="n">
        <v>5</v>
      </c>
      <c r="AK343" t="n">
        <v>5</v>
      </c>
      <c r="AL343" t="n">
        <v>1</v>
      </c>
      <c r="AM343" t="n">
        <v>2</v>
      </c>
      <c r="AN343" t="n">
        <v>0</v>
      </c>
      <c r="AO343" t="n">
        <v>0</v>
      </c>
      <c r="AP343" t="inlineStr">
        <is>
          <t>No</t>
        </is>
      </c>
      <c r="AQ343" t="inlineStr">
        <is>
          <t>Yes</t>
        </is>
      </c>
      <c r="AR343">
        <f>HYPERLINK("http://catalog.hathitrust.org/Record/001555340","HathiTrust Record")</f>
        <v/>
      </c>
      <c r="AS343">
        <f>HYPERLINK("https://creighton-primo.hosted.exlibrisgroup.com/primo-explore/search?tab=default_tab&amp;search_scope=EVERYTHING&amp;vid=01CRU&amp;lang=en_US&amp;offset=0&amp;query=any,contains,991000904719702656","Catalog Record")</f>
        <v/>
      </c>
      <c r="AT343">
        <f>HYPERLINK("http://www.worldcat.org/oclc/595443","WorldCat Record")</f>
        <v/>
      </c>
      <c r="AU343" t="inlineStr">
        <is>
          <t>1800332:eng</t>
        </is>
      </c>
      <c r="AV343" t="inlineStr">
        <is>
          <t>595443</t>
        </is>
      </c>
      <c r="AW343" t="inlineStr">
        <is>
          <t>991000904719702656</t>
        </is>
      </c>
      <c r="AX343" t="inlineStr">
        <is>
          <t>991000904719702656</t>
        </is>
      </c>
      <c r="AY343" t="inlineStr">
        <is>
          <t>2272335620002656</t>
        </is>
      </c>
      <c r="AZ343" t="inlineStr">
        <is>
          <t>BOOK</t>
        </is>
      </c>
      <c r="BC343" t="inlineStr">
        <is>
          <t>30001000175861</t>
        </is>
      </c>
      <c r="BD343" t="inlineStr">
        <is>
          <t>893120714</t>
        </is>
      </c>
    </row>
    <row r="344">
      <c r="A344" t="inlineStr">
        <is>
          <t>No</t>
        </is>
      </c>
      <c r="B344" t="inlineStr">
        <is>
          <t>QU 130 N691oc 1994</t>
        </is>
      </c>
      <c r="C344" t="inlineStr">
        <is>
          <t>0                      QU 0130000N  691oc       1994</t>
        </is>
      </c>
      <c r="D344" t="inlineStr">
        <is>
          <t>Optimal calcium intake / National Institutes of Health, Office of the Director.</t>
        </is>
      </c>
      <c r="F344" t="inlineStr">
        <is>
          <t>No</t>
        </is>
      </c>
      <c r="G344" t="inlineStr">
        <is>
          <t>1</t>
        </is>
      </c>
      <c r="H344" t="inlineStr">
        <is>
          <t>No</t>
        </is>
      </c>
      <c r="I344" t="inlineStr">
        <is>
          <t>No</t>
        </is>
      </c>
      <c r="J344" t="inlineStr">
        <is>
          <t>0</t>
        </is>
      </c>
      <c r="L344" t="inlineStr">
        <is>
          <t>Bethesda, MD : NIH, 1994.</t>
        </is>
      </c>
      <c r="M344" t="inlineStr">
        <is>
          <t>1994</t>
        </is>
      </c>
      <c r="O344" t="inlineStr">
        <is>
          <t>eng</t>
        </is>
      </c>
      <c r="P344" t="inlineStr">
        <is>
          <t>mdu</t>
        </is>
      </c>
      <c r="Q344" t="inlineStr">
        <is>
          <t>NIH consensus statement ; v. 12, no. 4</t>
        </is>
      </c>
      <c r="R344" t="inlineStr">
        <is>
          <t xml:space="preserve">QU </t>
        </is>
      </c>
      <c r="S344" t="n">
        <v>2</v>
      </c>
      <c r="T344" t="n">
        <v>2</v>
      </c>
      <c r="U344" t="inlineStr">
        <is>
          <t>1996-11-17</t>
        </is>
      </c>
      <c r="V344" t="inlineStr">
        <is>
          <t>1996-11-17</t>
        </is>
      </c>
      <c r="W344" t="inlineStr">
        <is>
          <t>1995-09-11</t>
        </is>
      </c>
      <c r="X344" t="inlineStr">
        <is>
          <t>1995-09-11</t>
        </is>
      </c>
      <c r="Y344" t="n">
        <v>66</v>
      </c>
      <c r="Z344" t="n">
        <v>56</v>
      </c>
      <c r="AA344" t="n">
        <v>64</v>
      </c>
      <c r="AB344" t="n">
        <v>2</v>
      </c>
      <c r="AC344" t="n">
        <v>2</v>
      </c>
      <c r="AD344" t="n">
        <v>1</v>
      </c>
      <c r="AE344" t="n">
        <v>1</v>
      </c>
      <c r="AF344" t="n">
        <v>0</v>
      </c>
      <c r="AG344" t="n">
        <v>0</v>
      </c>
      <c r="AH344" t="n">
        <v>0</v>
      </c>
      <c r="AI344" t="n">
        <v>0</v>
      </c>
      <c r="AJ344" t="n">
        <v>0</v>
      </c>
      <c r="AK344" t="n">
        <v>0</v>
      </c>
      <c r="AL344" t="n">
        <v>1</v>
      </c>
      <c r="AM344" t="n">
        <v>1</v>
      </c>
      <c r="AN344" t="n">
        <v>0</v>
      </c>
      <c r="AO344" t="n">
        <v>0</v>
      </c>
      <c r="AP344" t="inlineStr">
        <is>
          <t>Yes</t>
        </is>
      </c>
      <c r="AQ344" t="inlineStr">
        <is>
          <t>No</t>
        </is>
      </c>
      <c r="AR344">
        <f>HYPERLINK("http://catalog.hathitrust.org/Record/003048804","HathiTrust Record")</f>
        <v/>
      </c>
      <c r="AS344">
        <f>HYPERLINK("https://creighton-primo.hosted.exlibrisgroup.com/primo-explore/search?tab=default_tab&amp;search_scope=EVERYTHING&amp;vid=01CRU&amp;lang=en_US&amp;offset=0&amp;query=any,contains,991000256199702656","Catalog Record")</f>
        <v/>
      </c>
      <c r="AT344">
        <f>HYPERLINK("http://www.worldcat.org/oclc/32843031","WorldCat Record")</f>
        <v/>
      </c>
      <c r="AU344" t="inlineStr">
        <is>
          <t>55949295:eng</t>
        </is>
      </c>
      <c r="AV344" t="inlineStr">
        <is>
          <t>32843031</t>
        </is>
      </c>
      <c r="AW344" t="inlineStr">
        <is>
          <t>991000256199702656</t>
        </is>
      </c>
      <c r="AX344" t="inlineStr">
        <is>
          <t>991000256199702656</t>
        </is>
      </c>
      <c r="AY344" t="inlineStr">
        <is>
          <t>2269663370002656</t>
        </is>
      </c>
      <c r="AZ344" t="inlineStr">
        <is>
          <t>BOOK</t>
        </is>
      </c>
      <c r="BC344" t="inlineStr">
        <is>
          <t>30001003260223</t>
        </is>
      </c>
      <c r="BD344" t="inlineStr">
        <is>
          <t>893536925</t>
        </is>
      </c>
    </row>
    <row r="345">
      <c r="A345" t="inlineStr">
        <is>
          <t>No</t>
        </is>
      </c>
      <c r="B345" t="inlineStr">
        <is>
          <t>QU 130 T758 1984 v.3</t>
        </is>
      </c>
      <c r="C345" t="inlineStr">
        <is>
          <t>0                      QU 0130000T  758         1984                                        v.3</t>
        </is>
      </c>
      <c r="D345" t="inlineStr">
        <is>
          <t>Trace element analytical chemistry in medicine and biology. Volume 3 : proceedings of the third international workshop, Neuherberg, Federal Republic of Germany, April 1984 / editors, Peter Brätter, Peter Schramel.</t>
        </is>
      </c>
      <c r="E345" t="inlineStr">
        <is>
          <t>V.3</t>
        </is>
      </c>
      <c r="F345" t="inlineStr">
        <is>
          <t>No</t>
        </is>
      </c>
      <c r="G345" t="inlineStr">
        <is>
          <t>1</t>
        </is>
      </c>
      <c r="H345" t="inlineStr">
        <is>
          <t>No</t>
        </is>
      </c>
      <c r="I345" t="inlineStr">
        <is>
          <t>No</t>
        </is>
      </c>
      <c r="J345" t="inlineStr">
        <is>
          <t>0</t>
        </is>
      </c>
      <c r="L345" t="inlineStr">
        <is>
          <t>Berlin ; New York : De Gruyter, c1984.</t>
        </is>
      </c>
      <c r="M345" t="inlineStr">
        <is>
          <t>1984</t>
        </is>
      </c>
      <c r="O345" t="inlineStr">
        <is>
          <t>eng</t>
        </is>
      </c>
      <c r="P345" t="inlineStr">
        <is>
          <t xml:space="preserve">gw </t>
        </is>
      </c>
      <c r="R345" t="inlineStr">
        <is>
          <t xml:space="preserve">QU </t>
        </is>
      </c>
      <c r="S345" t="n">
        <v>5</v>
      </c>
      <c r="T345" t="n">
        <v>5</v>
      </c>
      <c r="U345" t="inlineStr">
        <is>
          <t>1993-03-18</t>
        </is>
      </c>
      <c r="V345" t="inlineStr">
        <is>
          <t>1993-03-18</t>
        </is>
      </c>
      <c r="W345" t="inlineStr">
        <is>
          <t>1988-01-25</t>
        </is>
      </c>
      <c r="X345" t="inlineStr">
        <is>
          <t>1988-01-25</t>
        </is>
      </c>
      <c r="Y345" t="n">
        <v>23</v>
      </c>
      <c r="Z345" t="n">
        <v>14</v>
      </c>
      <c r="AA345" t="n">
        <v>14</v>
      </c>
      <c r="AB345" t="n">
        <v>1</v>
      </c>
      <c r="AC345" t="n">
        <v>1</v>
      </c>
      <c r="AD345" t="n">
        <v>0</v>
      </c>
      <c r="AE345" t="n">
        <v>0</v>
      </c>
      <c r="AF345" t="n">
        <v>0</v>
      </c>
      <c r="AG345" t="n">
        <v>0</v>
      </c>
      <c r="AH345" t="n">
        <v>0</v>
      </c>
      <c r="AI345" t="n">
        <v>0</v>
      </c>
      <c r="AJ345" t="n">
        <v>0</v>
      </c>
      <c r="AK345" t="n">
        <v>0</v>
      </c>
      <c r="AL345" t="n">
        <v>0</v>
      </c>
      <c r="AM345" t="n">
        <v>0</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HYPERLINK("https://creighton-primo.hosted.exlibrisgroup.com/primo-explore/search?tab=default_tab&amp;search_scope=EVERYTHING&amp;vid=01CRU&amp;lang=en_US&amp;offset=0&amp;query=any,contains,991000905039702656","Catalog Record")</f>
        <v/>
      </c>
      <c r="AT345">
        <f>HYPERLINK("http://www.worldcat.org/oclc/11185639","WorldCat Record")</f>
        <v/>
      </c>
      <c r="AU345" t="inlineStr">
        <is>
          <t>5453622959:eng</t>
        </is>
      </c>
      <c r="AV345" t="inlineStr">
        <is>
          <t>11185639</t>
        </is>
      </c>
      <c r="AW345" t="inlineStr">
        <is>
          <t>991000905039702656</t>
        </is>
      </c>
      <c r="AX345" t="inlineStr">
        <is>
          <t>991000905039702656</t>
        </is>
      </c>
      <c r="AY345" t="inlineStr">
        <is>
          <t>22101749410002656</t>
        </is>
      </c>
      <c r="AZ345" t="inlineStr">
        <is>
          <t>BOOK</t>
        </is>
      </c>
      <c r="BB345" t="inlineStr">
        <is>
          <t>9783110098211</t>
        </is>
      </c>
      <c r="BC345" t="inlineStr">
        <is>
          <t>30001000176034</t>
        </is>
      </c>
      <c r="BD345" t="inlineStr">
        <is>
          <t>893815905</t>
        </is>
      </c>
    </row>
    <row r="346">
      <c r="A346" t="inlineStr">
        <is>
          <t>No</t>
        </is>
      </c>
      <c r="B346" t="inlineStr">
        <is>
          <t>QU 130 T75825 1987 v.1</t>
        </is>
      </c>
      <c r="C346" t="inlineStr">
        <is>
          <t>0                      QU 0130000T  75825       1987                                        v.1</t>
        </is>
      </c>
      <c r="D346" t="inlineStr">
        <is>
          <t>Trace elements in human and animal nutrition / edited by Walter Mertz.</t>
        </is>
      </c>
      <c r="E346" t="inlineStr">
        <is>
          <t>V.1</t>
        </is>
      </c>
      <c r="F346" t="inlineStr">
        <is>
          <t>No</t>
        </is>
      </c>
      <c r="G346" t="inlineStr">
        <is>
          <t>1</t>
        </is>
      </c>
      <c r="H346" t="inlineStr">
        <is>
          <t>No</t>
        </is>
      </c>
      <c r="I346" t="inlineStr">
        <is>
          <t>No</t>
        </is>
      </c>
      <c r="J346" t="inlineStr">
        <is>
          <t>0</t>
        </is>
      </c>
      <c r="L346" t="inlineStr">
        <is>
          <t>Orlando : Academic Press, c1987.</t>
        </is>
      </c>
      <c r="M346" t="inlineStr">
        <is>
          <t>1986</t>
        </is>
      </c>
      <c r="N346" t="inlineStr">
        <is>
          <t>5th ed.</t>
        </is>
      </c>
      <c r="O346" t="inlineStr">
        <is>
          <t>eng</t>
        </is>
      </c>
      <c r="P346" t="inlineStr">
        <is>
          <t>flu</t>
        </is>
      </c>
      <c r="R346" t="inlineStr">
        <is>
          <t xml:space="preserve">QU </t>
        </is>
      </c>
      <c r="S346" t="n">
        <v>9</v>
      </c>
      <c r="T346" t="n">
        <v>9</v>
      </c>
      <c r="U346" t="inlineStr">
        <is>
          <t>1997-10-15</t>
        </is>
      </c>
      <c r="V346" t="inlineStr">
        <is>
          <t>1997-10-15</t>
        </is>
      </c>
      <c r="W346" t="inlineStr">
        <is>
          <t>1988-05-07</t>
        </is>
      </c>
      <c r="X346" t="inlineStr">
        <is>
          <t>1988-05-07</t>
        </is>
      </c>
      <c r="Y346" t="n">
        <v>330</v>
      </c>
      <c r="Z346" t="n">
        <v>250</v>
      </c>
      <c r="AA346" t="n">
        <v>300</v>
      </c>
      <c r="AB346" t="n">
        <v>2</v>
      </c>
      <c r="AC346" t="n">
        <v>3</v>
      </c>
      <c r="AD346" t="n">
        <v>7</v>
      </c>
      <c r="AE346" t="n">
        <v>11</v>
      </c>
      <c r="AF346" t="n">
        <v>1</v>
      </c>
      <c r="AG346" t="n">
        <v>3</v>
      </c>
      <c r="AH346" t="n">
        <v>3</v>
      </c>
      <c r="AI346" t="n">
        <v>5</v>
      </c>
      <c r="AJ346" t="n">
        <v>5</v>
      </c>
      <c r="AK346" t="n">
        <v>5</v>
      </c>
      <c r="AL346" t="n">
        <v>0</v>
      </c>
      <c r="AM346" t="n">
        <v>1</v>
      </c>
      <c r="AN346" t="n">
        <v>0</v>
      </c>
      <c r="AO346" t="n">
        <v>0</v>
      </c>
      <c r="AP346" t="inlineStr">
        <is>
          <t>No</t>
        </is>
      </c>
      <c r="AQ346" t="inlineStr">
        <is>
          <t>Yes</t>
        </is>
      </c>
      <c r="AR346">
        <f>HYPERLINK("http://catalog.hathitrust.org/Record/000557677","HathiTrust Record")</f>
        <v/>
      </c>
      <c r="AS346">
        <f>HYPERLINK("https://creighton-primo.hosted.exlibrisgroup.com/primo-explore/search?tab=default_tab&amp;search_scope=EVERYTHING&amp;vid=01CRU&amp;lang=en_US&amp;offset=0&amp;query=any,contains,991001188569702656","Catalog Record")</f>
        <v/>
      </c>
      <c r="AT346">
        <f>HYPERLINK("http://www.worldcat.org/oclc/12550138","WorldCat Record")</f>
        <v/>
      </c>
      <c r="AU346" t="inlineStr">
        <is>
          <t>4926319417:eng</t>
        </is>
      </c>
      <c r="AV346" t="inlineStr">
        <is>
          <t>12550138</t>
        </is>
      </c>
      <c r="AW346" t="inlineStr">
        <is>
          <t>991001188569702656</t>
        </is>
      </c>
      <c r="AX346" t="inlineStr">
        <is>
          <t>991001188569702656</t>
        </is>
      </c>
      <c r="AY346" t="inlineStr">
        <is>
          <t>2260490660002656</t>
        </is>
      </c>
      <c r="AZ346" t="inlineStr">
        <is>
          <t>BOOK</t>
        </is>
      </c>
      <c r="BB346" t="inlineStr">
        <is>
          <t>9780124912519</t>
        </is>
      </c>
      <c r="BC346" t="inlineStr">
        <is>
          <t>30001000978769</t>
        </is>
      </c>
      <c r="BD346" t="inlineStr">
        <is>
          <t>893374327</t>
        </is>
      </c>
    </row>
    <row r="347">
      <c r="A347" t="inlineStr">
        <is>
          <t>No</t>
        </is>
      </c>
      <c r="B347" t="inlineStr">
        <is>
          <t>QU 130 T758271 1989</t>
        </is>
      </c>
      <c r="C347" t="inlineStr">
        <is>
          <t>0                      QU 0130000T  758271      1989</t>
        </is>
      </c>
      <c r="D347" t="inlineStr">
        <is>
          <t>Trace elements in nutrition of children, II / editor, Ranjit Kumar Chandra.</t>
        </is>
      </c>
      <c r="E347" t="inlineStr">
        <is>
          <t>V. 23</t>
        </is>
      </c>
      <c r="F347" t="inlineStr">
        <is>
          <t>No</t>
        </is>
      </c>
      <c r="G347" t="inlineStr">
        <is>
          <t>1</t>
        </is>
      </c>
      <c r="H347" t="inlineStr">
        <is>
          <t>No</t>
        </is>
      </c>
      <c r="I347" t="inlineStr">
        <is>
          <t>No</t>
        </is>
      </c>
      <c r="J347" t="inlineStr">
        <is>
          <t>0</t>
        </is>
      </c>
      <c r="L347" t="inlineStr">
        <is>
          <t>Vevey, Switzerland : Nestlé Nutrition ; New York : Raven Press, c1991.</t>
        </is>
      </c>
      <c r="M347" t="inlineStr">
        <is>
          <t>1991</t>
        </is>
      </c>
      <c r="O347" t="inlineStr">
        <is>
          <t>eng</t>
        </is>
      </c>
      <c r="P347" t="inlineStr">
        <is>
          <t xml:space="preserve">sz </t>
        </is>
      </c>
      <c r="Q347" t="inlineStr">
        <is>
          <t>Nestlé Nutrition workshop series ; v. 23</t>
        </is>
      </c>
      <c r="R347" t="inlineStr">
        <is>
          <t xml:space="preserve">QU </t>
        </is>
      </c>
      <c r="S347" t="n">
        <v>3</v>
      </c>
      <c r="T347" t="n">
        <v>3</v>
      </c>
      <c r="U347" t="inlineStr">
        <is>
          <t>1992-11-10</t>
        </is>
      </c>
      <c r="V347" t="inlineStr">
        <is>
          <t>1992-11-10</t>
        </is>
      </c>
      <c r="W347" t="inlineStr">
        <is>
          <t>1991-05-24</t>
        </is>
      </c>
      <c r="X347" t="inlineStr">
        <is>
          <t>1991-05-24</t>
        </is>
      </c>
      <c r="Y347" t="n">
        <v>157</v>
      </c>
      <c r="Z347" t="n">
        <v>119</v>
      </c>
      <c r="AA347" t="n">
        <v>121</v>
      </c>
      <c r="AB347" t="n">
        <v>2</v>
      </c>
      <c r="AC347" t="n">
        <v>2</v>
      </c>
      <c r="AD347" t="n">
        <v>5</v>
      </c>
      <c r="AE347" t="n">
        <v>5</v>
      </c>
      <c r="AF347" t="n">
        <v>0</v>
      </c>
      <c r="AG347" t="n">
        <v>0</v>
      </c>
      <c r="AH347" t="n">
        <v>2</v>
      </c>
      <c r="AI347" t="n">
        <v>2</v>
      </c>
      <c r="AJ347" t="n">
        <v>2</v>
      </c>
      <c r="AK347" t="n">
        <v>2</v>
      </c>
      <c r="AL347" t="n">
        <v>1</v>
      </c>
      <c r="AM347" t="n">
        <v>1</v>
      </c>
      <c r="AN347" t="n">
        <v>0</v>
      </c>
      <c r="AO347" t="n">
        <v>0</v>
      </c>
      <c r="AP347" t="inlineStr">
        <is>
          <t>No</t>
        </is>
      </c>
      <c r="AQ347" t="inlineStr">
        <is>
          <t>Yes</t>
        </is>
      </c>
      <c r="AR347">
        <f>HYPERLINK("http://catalog.hathitrust.org/Record/002469497","HathiTrust Record")</f>
        <v/>
      </c>
      <c r="AS347">
        <f>HYPERLINK("https://creighton-primo.hosted.exlibrisgroup.com/primo-explore/search?tab=default_tab&amp;search_scope=EVERYTHING&amp;vid=01CRU&amp;lang=en_US&amp;offset=0&amp;query=any,contains,991000938099702656","Catalog Record")</f>
        <v/>
      </c>
      <c r="AT347">
        <f>HYPERLINK("http://www.worldcat.org/oclc/22279865","WorldCat Record")</f>
        <v/>
      </c>
      <c r="AU347" t="inlineStr">
        <is>
          <t>360083114:eng</t>
        </is>
      </c>
      <c r="AV347" t="inlineStr">
        <is>
          <t>22279865</t>
        </is>
      </c>
      <c r="AW347" t="inlineStr">
        <is>
          <t>991000938099702656</t>
        </is>
      </c>
      <c r="AX347" t="inlineStr">
        <is>
          <t>991000938099702656</t>
        </is>
      </c>
      <c r="AY347" t="inlineStr">
        <is>
          <t>2271942340002656</t>
        </is>
      </c>
      <c r="AZ347" t="inlineStr">
        <is>
          <t>BOOK</t>
        </is>
      </c>
      <c r="BB347" t="inlineStr">
        <is>
          <t>9780881677416</t>
        </is>
      </c>
      <c r="BC347" t="inlineStr">
        <is>
          <t>30001002191619</t>
        </is>
      </c>
      <c r="BD347" t="inlineStr">
        <is>
          <t>893358022</t>
        </is>
      </c>
    </row>
    <row r="348">
      <c r="A348" t="inlineStr">
        <is>
          <t>No</t>
        </is>
      </c>
      <c r="B348" t="inlineStr">
        <is>
          <t>QU 130 U56t 1971</t>
        </is>
      </c>
      <c r="C348" t="inlineStr">
        <is>
          <t>0                      QU 0130000U  56t         1971</t>
        </is>
      </c>
      <c r="D348" t="inlineStr">
        <is>
          <t>Trace elements in human and animal nutrition / [by] E.J. Underwood.</t>
        </is>
      </c>
      <c r="F348" t="inlineStr">
        <is>
          <t>No</t>
        </is>
      </c>
      <c r="G348" t="inlineStr">
        <is>
          <t>1</t>
        </is>
      </c>
      <c r="H348" t="inlineStr">
        <is>
          <t>No</t>
        </is>
      </c>
      <c r="I348" t="inlineStr">
        <is>
          <t>Yes</t>
        </is>
      </c>
      <c r="J348" t="inlineStr">
        <is>
          <t>0</t>
        </is>
      </c>
      <c r="K348" t="inlineStr">
        <is>
          <t>Underwood, E. J. (Eric John), 1905-1980.</t>
        </is>
      </c>
      <c r="L348" t="inlineStr">
        <is>
          <t>New York : Academic Press, 1971.</t>
        </is>
      </c>
      <c r="M348" t="inlineStr">
        <is>
          <t>1971</t>
        </is>
      </c>
      <c r="N348" t="inlineStr">
        <is>
          <t>3d ed.</t>
        </is>
      </c>
      <c r="O348" t="inlineStr">
        <is>
          <t>eng</t>
        </is>
      </c>
      <c r="P348" t="inlineStr">
        <is>
          <t>nyu</t>
        </is>
      </c>
      <c r="R348" t="inlineStr">
        <is>
          <t xml:space="preserve">QU </t>
        </is>
      </c>
      <c r="S348" t="n">
        <v>6</v>
      </c>
      <c r="T348" t="n">
        <v>6</v>
      </c>
      <c r="U348" t="inlineStr">
        <is>
          <t>1997-05-14</t>
        </is>
      </c>
      <c r="V348" t="inlineStr">
        <is>
          <t>1997-05-14</t>
        </is>
      </c>
      <c r="W348" t="inlineStr">
        <is>
          <t>1988-02-02</t>
        </is>
      </c>
      <c r="X348" t="inlineStr">
        <is>
          <t>1988-02-02</t>
        </is>
      </c>
      <c r="Y348" t="n">
        <v>365</v>
      </c>
      <c r="Z348" t="n">
        <v>255</v>
      </c>
      <c r="AA348" t="n">
        <v>566</v>
      </c>
      <c r="AB348" t="n">
        <v>2</v>
      </c>
      <c r="AC348" t="n">
        <v>6</v>
      </c>
      <c r="AD348" t="n">
        <v>4</v>
      </c>
      <c r="AE348" t="n">
        <v>16</v>
      </c>
      <c r="AF348" t="n">
        <v>2</v>
      </c>
      <c r="AG348" t="n">
        <v>4</v>
      </c>
      <c r="AH348" t="n">
        <v>1</v>
      </c>
      <c r="AI348" t="n">
        <v>5</v>
      </c>
      <c r="AJ348" t="n">
        <v>0</v>
      </c>
      <c r="AK348" t="n">
        <v>6</v>
      </c>
      <c r="AL348" t="n">
        <v>1</v>
      </c>
      <c r="AM348" t="n">
        <v>3</v>
      </c>
      <c r="AN348" t="n">
        <v>0</v>
      </c>
      <c r="AO348" t="n">
        <v>0</v>
      </c>
      <c r="AP348" t="inlineStr">
        <is>
          <t>No</t>
        </is>
      </c>
      <c r="AQ348" t="inlineStr">
        <is>
          <t>Yes</t>
        </is>
      </c>
      <c r="AR348">
        <f>HYPERLINK("http://catalog.hathitrust.org/Record/001555335","HathiTrust Record")</f>
        <v/>
      </c>
      <c r="AS348">
        <f>HYPERLINK("https://creighton-primo.hosted.exlibrisgroup.com/primo-explore/search?tab=default_tab&amp;search_scope=EVERYTHING&amp;vid=01CRU&amp;lang=en_US&amp;offset=0&amp;query=any,contains,991000905229702656","Catalog Record")</f>
        <v/>
      </c>
      <c r="AT348">
        <f>HYPERLINK("http://www.worldcat.org/oclc/134466","WorldCat Record")</f>
        <v/>
      </c>
      <c r="AU348" t="inlineStr">
        <is>
          <t>9565596211:eng</t>
        </is>
      </c>
      <c r="AV348" t="inlineStr">
        <is>
          <t>134466</t>
        </is>
      </c>
      <c r="AW348" t="inlineStr">
        <is>
          <t>991000905229702656</t>
        </is>
      </c>
      <c r="AX348" t="inlineStr">
        <is>
          <t>991000905229702656</t>
        </is>
      </c>
      <c r="AY348" t="inlineStr">
        <is>
          <t>2260834980002656</t>
        </is>
      </c>
      <c r="AZ348" t="inlineStr">
        <is>
          <t>BOOK</t>
        </is>
      </c>
      <c r="BC348" t="inlineStr">
        <is>
          <t>30001000176091</t>
        </is>
      </c>
      <c r="BD348" t="inlineStr">
        <is>
          <t>893834482</t>
        </is>
      </c>
    </row>
    <row r="349">
      <c r="A349" t="inlineStr">
        <is>
          <t>No</t>
        </is>
      </c>
      <c r="B349" t="inlineStr">
        <is>
          <t>QU 130.5 M6265 2008</t>
        </is>
      </c>
      <c r="C349" t="inlineStr">
        <is>
          <t>0                      QU 0130500M  6265        2008</t>
        </is>
      </c>
      <c r="D349" t="inlineStr">
        <is>
          <t>Micronutrients and health research / Takumi Yoshida, editor.</t>
        </is>
      </c>
      <c r="F349" t="inlineStr">
        <is>
          <t>No</t>
        </is>
      </c>
      <c r="G349" t="inlineStr">
        <is>
          <t>1</t>
        </is>
      </c>
      <c r="H349" t="inlineStr">
        <is>
          <t>No</t>
        </is>
      </c>
      <c r="I349" t="inlineStr">
        <is>
          <t>No</t>
        </is>
      </c>
      <c r="J349" t="inlineStr">
        <is>
          <t>0</t>
        </is>
      </c>
      <c r="L349" t="inlineStr">
        <is>
          <t>New York : Nova Biomedical Books, c2008.</t>
        </is>
      </c>
      <c r="M349" t="inlineStr">
        <is>
          <t>2008</t>
        </is>
      </c>
      <c r="O349" t="inlineStr">
        <is>
          <t>eng</t>
        </is>
      </c>
      <c r="P349" t="inlineStr">
        <is>
          <t>nyu</t>
        </is>
      </c>
      <c r="R349" t="inlineStr">
        <is>
          <t xml:space="preserve">QU </t>
        </is>
      </c>
      <c r="S349" t="n">
        <v>0</v>
      </c>
      <c r="T349" t="n">
        <v>0</v>
      </c>
      <c r="U349" t="inlineStr">
        <is>
          <t>2008-10-16</t>
        </is>
      </c>
      <c r="V349" t="inlineStr">
        <is>
          <t>2008-10-16</t>
        </is>
      </c>
      <c r="W349" t="inlineStr">
        <is>
          <t>2008-10-16</t>
        </is>
      </c>
      <c r="X349" t="inlineStr">
        <is>
          <t>2008-10-16</t>
        </is>
      </c>
      <c r="Y349" t="n">
        <v>54</v>
      </c>
      <c r="Z349" t="n">
        <v>41</v>
      </c>
      <c r="AA349" t="n">
        <v>54</v>
      </c>
      <c r="AB349" t="n">
        <v>1</v>
      </c>
      <c r="AC349" t="n">
        <v>1</v>
      </c>
      <c r="AD349" t="n">
        <v>3</v>
      </c>
      <c r="AE349" t="n">
        <v>3</v>
      </c>
      <c r="AF349" t="n">
        <v>1</v>
      </c>
      <c r="AG349" t="n">
        <v>1</v>
      </c>
      <c r="AH349" t="n">
        <v>2</v>
      </c>
      <c r="AI349" t="n">
        <v>2</v>
      </c>
      <c r="AJ349" t="n">
        <v>2</v>
      </c>
      <c r="AK349" t="n">
        <v>2</v>
      </c>
      <c r="AL349" t="n">
        <v>0</v>
      </c>
      <c r="AM349" t="n">
        <v>0</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HYPERLINK("https://creighton-primo.hosted.exlibrisgroup.com/primo-explore/search?tab=default_tab&amp;search_scope=EVERYTHING&amp;vid=01CRU&amp;lang=en_US&amp;offset=0&amp;query=any,contains,991001323799702656","Catalog Record")</f>
        <v/>
      </c>
      <c r="AT349">
        <f>HYPERLINK("http://www.worldcat.org/oclc/173469781","WorldCat Record")</f>
        <v/>
      </c>
      <c r="AU349" t="inlineStr">
        <is>
          <t>1357859941:eng</t>
        </is>
      </c>
      <c r="AV349" t="inlineStr">
        <is>
          <t>173469781</t>
        </is>
      </c>
      <c r="AW349" t="inlineStr">
        <is>
          <t>991001323799702656</t>
        </is>
      </c>
      <c r="AX349" t="inlineStr">
        <is>
          <t>991001323799702656</t>
        </is>
      </c>
      <c r="AY349" t="inlineStr">
        <is>
          <t>2271591000002656</t>
        </is>
      </c>
      <c r="AZ349" t="inlineStr">
        <is>
          <t>BOOK</t>
        </is>
      </c>
      <c r="BB349" t="inlineStr">
        <is>
          <t>9781604560565</t>
        </is>
      </c>
      <c r="BC349" t="inlineStr">
        <is>
          <t>30001005373339</t>
        </is>
      </c>
      <c r="BD349" t="inlineStr">
        <is>
          <t>893816305</t>
        </is>
      </c>
    </row>
    <row r="350">
      <c r="A350" t="inlineStr">
        <is>
          <t>No</t>
        </is>
      </c>
      <c r="B350" t="inlineStr">
        <is>
          <t>QU 135 B616 1992</t>
        </is>
      </c>
      <c r="C350" t="inlineStr">
        <is>
          <t>0                      QU 0135000B  616         1992</t>
        </is>
      </c>
      <c r="D350" t="inlineStr">
        <is>
          <t>The Bioorganic chemistry of enzymatic catalysis : an homage to Myron L. Bender / editors, Valerian T. D'Souza and Joseph Feder.</t>
        </is>
      </c>
      <c r="F350" t="inlineStr">
        <is>
          <t>No</t>
        </is>
      </c>
      <c r="G350" t="inlineStr">
        <is>
          <t>1</t>
        </is>
      </c>
      <c r="H350" t="inlineStr">
        <is>
          <t>No</t>
        </is>
      </c>
      <c r="I350" t="inlineStr">
        <is>
          <t>Yes</t>
        </is>
      </c>
      <c r="J350" t="inlineStr">
        <is>
          <t>0</t>
        </is>
      </c>
      <c r="L350" t="inlineStr">
        <is>
          <t>Boca Raton : CRC Press, c1992.</t>
        </is>
      </c>
      <c r="M350" t="inlineStr">
        <is>
          <t>1992</t>
        </is>
      </c>
      <c r="O350" t="inlineStr">
        <is>
          <t>eng</t>
        </is>
      </c>
      <c r="P350" t="inlineStr">
        <is>
          <t>flu</t>
        </is>
      </c>
      <c r="R350" t="inlineStr">
        <is>
          <t xml:space="preserve">QU </t>
        </is>
      </c>
      <c r="S350" t="n">
        <v>4</v>
      </c>
      <c r="T350" t="n">
        <v>4</v>
      </c>
      <c r="U350" t="inlineStr">
        <is>
          <t>1992-03-11</t>
        </is>
      </c>
      <c r="V350" t="inlineStr">
        <is>
          <t>1992-03-11</t>
        </is>
      </c>
      <c r="W350" t="inlineStr">
        <is>
          <t>1992-02-05</t>
        </is>
      </c>
      <c r="X350" t="inlineStr">
        <is>
          <t>1992-02-05</t>
        </is>
      </c>
      <c r="Y350" t="n">
        <v>96</v>
      </c>
      <c r="Z350" t="n">
        <v>73</v>
      </c>
      <c r="AA350" t="n">
        <v>477</v>
      </c>
      <c r="AB350" t="n">
        <v>1</v>
      </c>
      <c r="AC350" t="n">
        <v>5</v>
      </c>
      <c r="AD350" t="n">
        <v>2</v>
      </c>
      <c r="AE350" t="n">
        <v>24</v>
      </c>
      <c r="AF350" t="n">
        <v>1</v>
      </c>
      <c r="AG350" t="n">
        <v>7</v>
      </c>
      <c r="AH350" t="n">
        <v>0</v>
      </c>
      <c r="AI350" t="n">
        <v>7</v>
      </c>
      <c r="AJ350" t="n">
        <v>1</v>
      </c>
      <c r="AK350" t="n">
        <v>13</v>
      </c>
      <c r="AL350" t="n">
        <v>0</v>
      </c>
      <c r="AM350" t="n">
        <v>3</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HYPERLINK("https://creighton-primo.hosted.exlibrisgroup.com/primo-explore/search?tab=default_tab&amp;search_scope=EVERYTHING&amp;vid=01CRU&amp;lang=en_US&amp;offset=0&amp;query=any,contains,991001031919702656","Catalog Record")</f>
        <v/>
      </c>
      <c r="AT350">
        <f>HYPERLINK("http://www.worldcat.org/oclc/24319650","WorldCat Record")</f>
        <v/>
      </c>
      <c r="AU350" t="inlineStr">
        <is>
          <t>43858219:eng</t>
        </is>
      </c>
      <c r="AV350" t="inlineStr">
        <is>
          <t>24319650</t>
        </is>
      </c>
      <c r="AW350" t="inlineStr">
        <is>
          <t>991001031919702656</t>
        </is>
      </c>
      <c r="AX350" t="inlineStr">
        <is>
          <t>991001031919702656</t>
        </is>
      </c>
      <c r="AY350" t="inlineStr">
        <is>
          <t>2272030460002656</t>
        </is>
      </c>
      <c r="AZ350" t="inlineStr">
        <is>
          <t>BOOK</t>
        </is>
      </c>
      <c r="BB350" t="inlineStr">
        <is>
          <t>9780849368233</t>
        </is>
      </c>
      <c r="BC350" t="inlineStr">
        <is>
          <t>30001002243998</t>
        </is>
      </c>
      <c r="BD350" t="inlineStr">
        <is>
          <t>893460224</t>
        </is>
      </c>
    </row>
    <row r="351">
      <c r="A351" t="inlineStr">
        <is>
          <t>No</t>
        </is>
      </c>
      <c r="B351" t="inlineStr">
        <is>
          <t>QU 135 B791e</t>
        </is>
      </c>
      <c r="C351" t="inlineStr">
        <is>
          <t>0                      QU 0135000B  791e</t>
        </is>
      </c>
      <c r="D351" t="inlineStr">
        <is>
          <t>The Enzymes. Edited by Paul D. Boyer.</t>
        </is>
      </c>
      <c r="E351" t="inlineStr">
        <is>
          <t>V. 16</t>
        </is>
      </c>
      <c r="F351" t="inlineStr">
        <is>
          <t>Yes</t>
        </is>
      </c>
      <c r="G351" t="inlineStr">
        <is>
          <t>1</t>
        </is>
      </c>
      <c r="H351" t="inlineStr">
        <is>
          <t>No</t>
        </is>
      </c>
      <c r="I351" t="inlineStr">
        <is>
          <t>No</t>
        </is>
      </c>
      <c r="J351" t="inlineStr">
        <is>
          <t>0</t>
        </is>
      </c>
      <c r="L351" t="inlineStr">
        <is>
          <t>New York, Academic Press, 1970-1983.</t>
        </is>
      </c>
      <c r="M351" t="inlineStr">
        <is>
          <t>1970</t>
        </is>
      </c>
      <c r="N351" t="inlineStr">
        <is>
          <t>3d ed.</t>
        </is>
      </c>
      <c r="O351" t="inlineStr">
        <is>
          <t>eng</t>
        </is>
      </c>
      <c r="P351" t="inlineStr">
        <is>
          <t>nyu</t>
        </is>
      </c>
      <c r="R351" t="inlineStr">
        <is>
          <t xml:space="preserve">QU </t>
        </is>
      </c>
      <c r="S351" t="n">
        <v>1</v>
      </c>
      <c r="T351" t="n">
        <v>27</v>
      </c>
      <c r="U351" t="inlineStr">
        <is>
          <t>1988-11-14</t>
        </is>
      </c>
      <c r="V351" t="inlineStr">
        <is>
          <t>2000-08-22</t>
        </is>
      </c>
      <c r="W351" t="inlineStr">
        <is>
          <t>1988-01-28</t>
        </is>
      </c>
      <c r="X351" t="inlineStr">
        <is>
          <t>1988-01-28</t>
        </is>
      </c>
      <c r="Y351" t="n">
        <v>859</v>
      </c>
      <c r="Z351" t="n">
        <v>691</v>
      </c>
      <c r="AA351" t="n">
        <v>982</v>
      </c>
      <c r="AB351" t="n">
        <v>4</v>
      </c>
      <c r="AC351" t="n">
        <v>6</v>
      </c>
      <c r="AD351" t="n">
        <v>27</v>
      </c>
      <c r="AE351" t="n">
        <v>43</v>
      </c>
      <c r="AF351" t="n">
        <v>11</v>
      </c>
      <c r="AG351" t="n">
        <v>16</v>
      </c>
      <c r="AH351" t="n">
        <v>7</v>
      </c>
      <c r="AI351" t="n">
        <v>11</v>
      </c>
      <c r="AJ351" t="n">
        <v>13</v>
      </c>
      <c r="AK351" t="n">
        <v>18</v>
      </c>
      <c r="AL351" t="n">
        <v>3</v>
      </c>
      <c r="AM351" t="n">
        <v>5</v>
      </c>
      <c r="AN351" t="n">
        <v>0</v>
      </c>
      <c r="AO351" t="n">
        <v>1</v>
      </c>
      <c r="AP351" t="inlineStr">
        <is>
          <t>No</t>
        </is>
      </c>
      <c r="AQ351" t="inlineStr">
        <is>
          <t>Yes</t>
        </is>
      </c>
      <c r="AR351">
        <f>HYPERLINK("http://catalog.hathitrust.org/Record/000117085","HathiTrust Record")</f>
        <v/>
      </c>
      <c r="AS351">
        <f>HYPERLINK("https://creighton-primo.hosted.exlibrisgroup.com/primo-explore/search?tab=default_tab&amp;search_scope=EVERYTHING&amp;vid=01CRU&amp;lang=en_US&amp;offset=0&amp;query=any,contains,991000093219702656","Catalog Record")</f>
        <v/>
      </c>
      <c r="AT351">
        <f>HYPERLINK("http://www.worldcat.org/oclc/134449","WorldCat Record")</f>
        <v/>
      </c>
      <c r="AU351" t="inlineStr">
        <is>
          <t>1070802655:eng</t>
        </is>
      </c>
      <c r="AV351" t="inlineStr">
        <is>
          <t>134449</t>
        </is>
      </c>
      <c r="AW351" t="inlineStr">
        <is>
          <t>991000093219702656</t>
        </is>
      </c>
      <c r="AX351" t="inlineStr">
        <is>
          <t>991000093219702656</t>
        </is>
      </c>
      <c r="AY351" t="inlineStr">
        <is>
          <t>2260845390002656</t>
        </is>
      </c>
      <c r="AZ351" t="inlineStr">
        <is>
          <t>BOOK</t>
        </is>
      </c>
      <c r="BC351" t="inlineStr">
        <is>
          <t>30001000176323</t>
        </is>
      </c>
      <c r="BD351" t="inlineStr">
        <is>
          <t>893122310</t>
        </is>
      </c>
    </row>
    <row r="352">
      <c r="A352" t="inlineStr">
        <is>
          <t>No</t>
        </is>
      </c>
      <c r="B352" t="inlineStr">
        <is>
          <t>QU 135 B791e</t>
        </is>
      </c>
      <c r="C352" t="inlineStr">
        <is>
          <t>0                      QU 0135000B  791e</t>
        </is>
      </c>
      <c r="D352" t="inlineStr">
        <is>
          <t>The Enzymes. Edited by Paul D. Boyer.</t>
        </is>
      </c>
      <c r="E352" t="inlineStr">
        <is>
          <t>V. 4</t>
        </is>
      </c>
      <c r="F352" t="inlineStr">
        <is>
          <t>Yes</t>
        </is>
      </c>
      <c r="G352" t="inlineStr">
        <is>
          <t>1</t>
        </is>
      </c>
      <c r="H352" t="inlineStr">
        <is>
          <t>No</t>
        </is>
      </c>
      <c r="I352" t="inlineStr">
        <is>
          <t>No</t>
        </is>
      </c>
      <c r="J352" t="inlineStr">
        <is>
          <t>0</t>
        </is>
      </c>
      <c r="L352" t="inlineStr">
        <is>
          <t>New York, Academic Press, 1970-1983.</t>
        </is>
      </c>
      <c r="M352" t="inlineStr">
        <is>
          <t>1970</t>
        </is>
      </c>
      <c r="N352" t="inlineStr">
        <is>
          <t>3d ed.</t>
        </is>
      </c>
      <c r="O352" t="inlineStr">
        <is>
          <t>eng</t>
        </is>
      </c>
      <c r="P352" t="inlineStr">
        <is>
          <t>nyu</t>
        </is>
      </c>
      <c r="R352" t="inlineStr">
        <is>
          <t xml:space="preserve">QU </t>
        </is>
      </c>
      <c r="S352" t="n">
        <v>2</v>
      </c>
      <c r="T352" t="n">
        <v>27</v>
      </c>
      <c r="V352" t="inlineStr">
        <is>
          <t>2000-08-22</t>
        </is>
      </c>
      <c r="W352" t="inlineStr">
        <is>
          <t>1987-12-30</t>
        </is>
      </c>
      <c r="X352" t="inlineStr">
        <is>
          <t>1988-01-28</t>
        </is>
      </c>
      <c r="Y352" t="n">
        <v>859</v>
      </c>
      <c r="Z352" t="n">
        <v>691</v>
      </c>
      <c r="AA352" t="n">
        <v>982</v>
      </c>
      <c r="AB352" t="n">
        <v>4</v>
      </c>
      <c r="AC352" t="n">
        <v>6</v>
      </c>
      <c r="AD352" t="n">
        <v>27</v>
      </c>
      <c r="AE352" t="n">
        <v>43</v>
      </c>
      <c r="AF352" t="n">
        <v>11</v>
      </c>
      <c r="AG352" t="n">
        <v>16</v>
      </c>
      <c r="AH352" t="n">
        <v>7</v>
      </c>
      <c r="AI352" t="n">
        <v>11</v>
      </c>
      <c r="AJ352" t="n">
        <v>13</v>
      </c>
      <c r="AK352" t="n">
        <v>18</v>
      </c>
      <c r="AL352" t="n">
        <v>3</v>
      </c>
      <c r="AM352" t="n">
        <v>5</v>
      </c>
      <c r="AN352" t="n">
        <v>0</v>
      </c>
      <c r="AO352" t="n">
        <v>1</v>
      </c>
      <c r="AP352" t="inlineStr">
        <is>
          <t>No</t>
        </is>
      </c>
      <c r="AQ352" t="inlineStr">
        <is>
          <t>Yes</t>
        </is>
      </c>
      <c r="AR352">
        <f>HYPERLINK("http://catalog.hathitrust.org/Record/000117085","HathiTrust Record")</f>
        <v/>
      </c>
      <c r="AS352">
        <f>HYPERLINK("https://creighton-primo.hosted.exlibrisgroup.com/primo-explore/search?tab=default_tab&amp;search_scope=EVERYTHING&amp;vid=01CRU&amp;lang=en_US&amp;offset=0&amp;query=any,contains,991000093219702656","Catalog Record")</f>
        <v/>
      </c>
      <c r="AT352">
        <f>HYPERLINK("http://www.worldcat.org/oclc/134449","WorldCat Record")</f>
        <v/>
      </c>
      <c r="AU352" t="inlineStr">
        <is>
          <t>1070802655:eng</t>
        </is>
      </c>
      <c r="AV352" t="inlineStr">
        <is>
          <t>134449</t>
        </is>
      </c>
      <c r="AW352" t="inlineStr">
        <is>
          <t>991000093219702656</t>
        </is>
      </c>
      <c r="AX352" t="inlineStr">
        <is>
          <t>991000093219702656</t>
        </is>
      </c>
      <c r="AY352" t="inlineStr">
        <is>
          <t>2260845390002656</t>
        </is>
      </c>
      <c r="AZ352" t="inlineStr">
        <is>
          <t>BOOK</t>
        </is>
      </c>
      <c r="BC352" t="inlineStr">
        <is>
          <t>30001000176216</t>
        </is>
      </c>
      <c r="BD352" t="inlineStr">
        <is>
          <t>893122311</t>
        </is>
      </c>
    </row>
    <row r="353">
      <c r="A353" t="inlineStr">
        <is>
          <t>No</t>
        </is>
      </c>
      <c r="B353" t="inlineStr">
        <is>
          <t>QU 135 B791e</t>
        </is>
      </c>
      <c r="C353" t="inlineStr">
        <is>
          <t>0                      QU 0135000B  791e</t>
        </is>
      </c>
      <c r="D353" t="inlineStr">
        <is>
          <t>The Enzymes. Edited by Paul D. Boyer.</t>
        </is>
      </c>
      <c r="E353" t="inlineStr">
        <is>
          <t>V. 12</t>
        </is>
      </c>
      <c r="F353" t="inlineStr">
        <is>
          <t>Yes</t>
        </is>
      </c>
      <c r="G353" t="inlineStr">
        <is>
          <t>1</t>
        </is>
      </c>
      <c r="H353" t="inlineStr">
        <is>
          <t>No</t>
        </is>
      </c>
      <c r="I353" t="inlineStr">
        <is>
          <t>No</t>
        </is>
      </c>
      <c r="J353" t="inlineStr">
        <is>
          <t>0</t>
        </is>
      </c>
      <c r="L353" t="inlineStr">
        <is>
          <t>New York, Academic Press, 1970-1983.</t>
        </is>
      </c>
      <c r="M353" t="inlineStr">
        <is>
          <t>1970</t>
        </is>
      </c>
      <c r="N353" t="inlineStr">
        <is>
          <t>3d ed.</t>
        </is>
      </c>
      <c r="O353" t="inlineStr">
        <is>
          <t>eng</t>
        </is>
      </c>
      <c r="P353" t="inlineStr">
        <is>
          <t>nyu</t>
        </is>
      </c>
      <c r="R353" t="inlineStr">
        <is>
          <t xml:space="preserve">QU </t>
        </is>
      </c>
      <c r="S353" t="n">
        <v>0</v>
      </c>
      <c r="T353" t="n">
        <v>27</v>
      </c>
      <c r="V353" t="inlineStr">
        <is>
          <t>2000-08-22</t>
        </is>
      </c>
      <c r="W353" t="inlineStr">
        <is>
          <t>1987-12-30</t>
        </is>
      </c>
      <c r="X353" t="inlineStr">
        <is>
          <t>1988-01-28</t>
        </is>
      </c>
      <c r="Y353" t="n">
        <v>859</v>
      </c>
      <c r="Z353" t="n">
        <v>691</v>
      </c>
      <c r="AA353" t="n">
        <v>982</v>
      </c>
      <c r="AB353" t="n">
        <v>4</v>
      </c>
      <c r="AC353" t="n">
        <v>6</v>
      </c>
      <c r="AD353" t="n">
        <v>27</v>
      </c>
      <c r="AE353" t="n">
        <v>43</v>
      </c>
      <c r="AF353" t="n">
        <v>11</v>
      </c>
      <c r="AG353" t="n">
        <v>16</v>
      </c>
      <c r="AH353" t="n">
        <v>7</v>
      </c>
      <c r="AI353" t="n">
        <v>11</v>
      </c>
      <c r="AJ353" t="n">
        <v>13</v>
      </c>
      <c r="AK353" t="n">
        <v>18</v>
      </c>
      <c r="AL353" t="n">
        <v>3</v>
      </c>
      <c r="AM353" t="n">
        <v>5</v>
      </c>
      <c r="AN353" t="n">
        <v>0</v>
      </c>
      <c r="AO353" t="n">
        <v>1</v>
      </c>
      <c r="AP353" t="inlineStr">
        <is>
          <t>No</t>
        </is>
      </c>
      <c r="AQ353" t="inlineStr">
        <is>
          <t>Yes</t>
        </is>
      </c>
      <c r="AR353">
        <f>HYPERLINK("http://catalog.hathitrust.org/Record/000117085","HathiTrust Record")</f>
        <v/>
      </c>
      <c r="AS353">
        <f>HYPERLINK("https://creighton-primo.hosted.exlibrisgroup.com/primo-explore/search?tab=default_tab&amp;search_scope=EVERYTHING&amp;vid=01CRU&amp;lang=en_US&amp;offset=0&amp;query=any,contains,991000093219702656","Catalog Record")</f>
        <v/>
      </c>
      <c r="AT353">
        <f>HYPERLINK("http://www.worldcat.org/oclc/134449","WorldCat Record")</f>
        <v/>
      </c>
      <c r="AU353" t="inlineStr">
        <is>
          <t>1070802655:eng</t>
        </is>
      </c>
      <c r="AV353" t="inlineStr">
        <is>
          <t>134449</t>
        </is>
      </c>
      <c r="AW353" t="inlineStr">
        <is>
          <t>991000093219702656</t>
        </is>
      </c>
      <c r="AX353" t="inlineStr">
        <is>
          <t>991000093219702656</t>
        </is>
      </c>
      <c r="AY353" t="inlineStr">
        <is>
          <t>2260845390002656</t>
        </is>
      </c>
      <c r="AZ353" t="inlineStr">
        <is>
          <t>BOOK</t>
        </is>
      </c>
      <c r="BC353" t="inlineStr">
        <is>
          <t>30001000176307</t>
        </is>
      </c>
      <c r="BD353" t="inlineStr">
        <is>
          <t>893122314</t>
        </is>
      </c>
    </row>
    <row r="354">
      <c r="A354" t="inlineStr">
        <is>
          <t>No</t>
        </is>
      </c>
      <c r="B354" t="inlineStr">
        <is>
          <t>QU 135 B791e</t>
        </is>
      </c>
      <c r="C354" t="inlineStr">
        <is>
          <t>0                      QU 0135000B  791e</t>
        </is>
      </c>
      <c r="D354" t="inlineStr">
        <is>
          <t>The Enzymes. Edited by Paul D. Boyer.</t>
        </is>
      </c>
      <c r="E354" t="inlineStr">
        <is>
          <t>V. 5</t>
        </is>
      </c>
      <c r="F354" t="inlineStr">
        <is>
          <t>Yes</t>
        </is>
      </c>
      <c r="G354" t="inlineStr">
        <is>
          <t>1</t>
        </is>
      </c>
      <c r="H354" t="inlineStr">
        <is>
          <t>No</t>
        </is>
      </c>
      <c r="I354" t="inlineStr">
        <is>
          <t>No</t>
        </is>
      </c>
      <c r="J354" t="inlineStr">
        <is>
          <t>0</t>
        </is>
      </c>
      <c r="L354" t="inlineStr">
        <is>
          <t>New York, Academic Press, 1970-1983.</t>
        </is>
      </c>
      <c r="M354" t="inlineStr">
        <is>
          <t>1970</t>
        </is>
      </c>
      <c r="N354" t="inlineStr">
        <is>
          <t>3d ed.</t>
        </is>
      </c>
      <c r="O354" t="inlineStr">
        <is>
          <t>eng</t>
        </is>
      </c>
      <c r="P354" t="inlineStr">
        <is>
          <t>nyu</t>
        </is>
      </c>
      <c r="R354" t="inlineStr">
        <is>
          <t xml:space="preserve">QU </t>
        </is>
      </c>
      <c r="S354" t="n">
        <v>0</v>
      </c>
      <c r="T354" t="n">
        <v>27</v>
      </c>
      <c r="V354" t="inlineStr">
        <is>
          <t>2000-08-22</t>
        </is>
      </c>
      <c r="W354" t="inlineStr">
        <is>
          <t>1987-12-30</t>
        </is>
      </c>
      <c r="X354" t="inlineStr">
        <is>
          <t>1988-01-28</t>
        </is>
      </c>
      <c r="Y354" t="n">
        <v>859</v>
      </c>
      <c r="Z354" t="n">
        <v>691</v>
      </c>
      <c r="AA354" t="n">
        <v>982</v>
      </c>
      <c r="AB354" t="n">
        <v>4</v>
      </c>
      <c r="AC354" t="n">
        <v>6</v>
      </c>
      <c r="AD354" t="n">
        <v>27</v>
      </c>
      <c r="AE354" t="n">
        <v>43</v>
      </c>
      <c r="AF354" t="n">
        <v>11</v>
      </c>
      <c r="AG354" t="n">
        <v>16</v>
      </c>
      <c r="AH354" t="n">
        <v>7</v>
      </c>
      <c r="AI354" t="n">
        <v>11</v>
      </c>
      <c r="AJ354" t="n">
        <v>13</v>
      </c>
      <c r="AK354" t="n">
        <v>18</v>
      </c>
      <c r="AL354" t="n">
        <v>3</v>
      </c>
      <c r="AM354" t="n">
        <v>5</v>
      </c>
      <c r="AN354" t="n">
        <v>0</v>
      </c>
      <c r="AO354" t="n">
        <v>1</v>
      </c>
      <c r="AP354" t="inlineStr">
        <is>
          <t>No</t>
        </is>
      </c>
      <c r="AQ354" t="inlineStr">
        <is>
          <t>Yes</t>
        </is>
      </c>
      <c r="AR354">
        <f>HYPERLINK("http://catalog.hathitrust.org/Record/000117085","HathiTrust Record")</f>
        <v/>
      </c>
      <c r="AS354">
        <f>HYPERLINK("https://creighton-primo.hosted.exlibrisgroup.com/primo-explore/search?tab=default_tab&amp;search_scope=EVERYTHING&amp;vid=01CRU&amp;lang=en_US&amp;offset=0&amp;query=any,contains,991000093219702656","Catalog Record")</f>
        <v/>
      </c>
      <c r="AT354">
        <f>HYPERLINK("http://www.worldcat.org/oclc/134449","WorldCat Record")</f>
        <v/>
      </c>
      <c r="AU354" t="inlineStr">
        <is>
          <t>1070802655:eng</t>
        </is>
      </c>
      <c r="AV354" t="inlineStr">
        <is>
          <t>134449</t>
        </is>
      </c>
      <c r="AW354" t="inlineStr">
        <is>
          <t>991000093219702656</t>
        </is>
      </c>
      <c r="AX354" t="inlineStr">
        <is>
          <t>991000093219702656</t>
        </is>
      </c>
      <c r="AY354" t="inlineStr">
        <is>
          <t>2260845390002656</t>
        </is>
      </c>
      <c r="AZ354" t="inlineStr">
        <is>
          <t>BOOK</t>
        </is>
      </c>
      <c r="BC354" t="inlineStr">
        <is>
          <t>30001000176224</t>
        </is>
      </c>
      <c r="BD354" t="inlineStr">
        <is>
          <t>893135929</t>
        </is>
      </c>
    </row>
    <row r="355">
      <c r="A355" t="inlineStr">
        <is>
          <t>No</t>
        </is>
      </c>
      <c r="B355" t="inlineStr">
        <is>
          <t>QU 135 B791e</t>
        </is>
      </c>
      <c r="C355" t="inlineStr">
        <is>
          <t>0                      QU 0135000B  791e</t>
        </is>
      </c>
      <c r="D355" t="inlineStr">
        <is>
          <t>The Enzymes. Edited by Paul D. Boyer.</t>
        </is>
      </c>
      <c r="E355" t="inlineStr">
        <is>
          <t>V. 10</t>
        </is>
      </c>
      <c r="F355" t="inlineStr">
        <is>
          <t>Yes</t>
        </is>
      </c>
      <c r="G355" t="inlineStr">
        <is>
          <t>1</t>
        </is>
      </c>
      <c r="H355" t="inlineStr">
        <is>
          <t>No</t>
        </is>
      </c>
      <c r="I355" t="inlineStr">
        <is>
          <t>No</t>
        </is>
      </c>
      <c r="J355" t="inlineStr">
        <is>
          <t>0</t>
        </is>
      </c>
      <c r="L355" t="inlineStr">
        <is>
          <t>New York, Academic Press, 1970-1983.</t>
        </is>
      </c>
      <c r="M355" t="inlineStr">
        <is>
          <t>1970</t>
        </is>
      </c>
      <c r="N355" t="inlineStr">
        <is>
          <t>3d ed.</t>
        </is>
      </c>
      <c r="O355" t="inlineStr">
        <is>
          <t>eng</t>
        </is>
      </c>
      <c r="P355" t="inlineStr">
        <is>
          <t>nyu</t>
        </is>
      </c>
      <c r="R355" t="inlineStr">
        <is>
          <t xml:space="preserve">QU </t>
        </is>
      </c>
      <c r="S355" t="n">
        <v>2</v>
      </c>
      <c r="T355" t="n">
        <v>27</v>
      </c>
      <c r="V355" t="inlineStr">
        <is>
          <t>2000-08-22</t>
        </is>
      </c>
      <c r="W355" t="inlineStr">
        <is>
          <t>1987-12-30</t>
        </is>
      </c>
      <c r="X355" t="inlineStr">
        <is>
          <t>1988-01-28</t>
        </is>
      </c>
      <c r="Y355" t="n">
        <v>859</v>
      </c>
      <c r="Z355" t="n">
        <v>691</v>
      </c>
      <c r="AA355" t="n">
        <v>982</v>
      </c>
      <c r="AB355" t="n">
        <v>4</v>
      </c>
      <c r="AC355" t="n">
        <v>6</v>
      </c>
      <c r="AD355" t="n">
        <v>27</v>
      </c>
      <c r="AE355" t="n">
        <v>43</v>
      </c>
      <c r="AF355" t="n">
        <v>11</v>
      </c>
      <c r="AG355" t="n">
        <v>16</v>
      </c>
      <c r="AH355" t="n">
        <v>7</v>
      </c>
      <c r="AI355" t="n">
        <v>11</v>
      </c>
      <c r="AJ355" t="n">
        <v>13</v>
      </c>
      <c r="AK355" t="n">
        <v>18</v>
      </c>
      <c r="AL355" t="n">
        <v>3</v>
      </c>
      <c r="AM355" t="n">
        <v>5</v>
      </c>
      <c r="AN355" t="n">
        <v>0</v>
      </c>
      <c r="AO355" t="n">
        <v>1</v>
      </c>
      <c r="AP355" t="inlineStr">
        <is>
          <t>No</t>
        </is>
      </c>
      <c r="AQ355" t="inlineStr">
        <is>
          <t>Yes</t>
        </is>
      </c>
      <c r="AR355">
        <f>HYPERLINK("http://catalog.hathitrust.org/Record/000117085","HathiTrust Record")</f>
        <v/>
      </c>
      <c r="AS355">
        <f>HYPERLINK("https://creighton-primo.hosted.exlibrisgroup.com/primo-explore/search?tab=default_tab&amp;search_scope=EVERYTHING&amp;vid=01CRU&amp;lang=en_US&amp;offset=0&amp;query=any,contains,991000093219702656","Catalog Record")</f>
        <v/>
      </c>
      <c r="AT355">
        <f>HYPERLINK("http://www.worldcat.org/oclc/134449","WorldCat Record")</f>
        <v/>
      </c>
      <c r="AU355" t="inlineStr">
        <is>
          <t>1070802655:eng</t>
        </is>
      </c>
      <c r="AV355" t="inlineStr">
        <is>
          <t>134449</t>
        </is>
      </c>
      <c r="AW355" t="inlineStr">
        <is>
          <t>991000093219702656</t>
        </is>
      </c>
      <c r="AX355" t="inlineStr">
        <is>
          <t>991000093219702656</t>
        </is>
      </c>
      <c r="AY355" t="inlineStr">
        <is>
          <t>2260845390002656</t>
        </is>
      </c>
      <c r="AZ355" t="inlineStr">
        <is>
          <t>BOOK</t>
        </is>
      </c>
      <c r="BC355" t="inlineStr">
        <is>
          <t>30001000176273</t>
        </is>
      </c>
      <c r="BD355" t="inlineStr">
        <is>
          <t>893150261</t>
        </is>
      </c>
    </row>
    <row r="356">
      <c r="A356" t="inlineStr">
        <is>
          <t>No</t>
        </is>
      </c>
      <c r="B356" t="inlineStr">
        <is>
          <t>QU 135 B791e</t>
        </is>
      </c>
      <c r="C356" t="inlineStr">
        <is>
          <t>0                      QU 0135000B  791e</t>
        </is>
      </c>
      <c r="D356" t="inlineStr">
        <is>
          <t>The Enzymes. Edited by Paul D. Boyer.</t>
        </is>
      </c>
      <c r="E356" t="inlineStr">
        <is>
          <t>V. 11</t>
        </is>
      </c>
      <c r="F356" t="inlineStr">
        <is>
          <t>Yes</t>
        </is>
      </c>
      <c r="G356" t="inlineStr">
        <is>
          <t>1</t>
        </is>
      </c>
      <c r="H356" t="inlineStr">
        <is>
          <t>No</t>
        </is>
      </c>
      <c r="I356" t="inlineStr">
        <is>
          <t>No</t>
        </is>
      </c>
      <c r="J356" t="inlineStr">
        <is>
          <t>0</t>
        </is>
      </c>
      <c r="L356" t="inlineStr">
        <is>
          <t>New York, Academic Press, 1970-1983.</t>
        </is>
      </c>
      <c r="M356" t="inlineStr">
        <is>
          <t>1970</t>
        </is>
      </c>
      <c r="N356" t="inlineStr">
        <is>
          <t>3d ed.</t>
        </is>
      </c>
      <c r="O356" t="inlineStr">
        <is>
          <t>eng</t>
        </is>
      </c>
      <c r="P356" t="inlineStr">
        <is>
          <t>nyu</t>
        </is>
      </c>
      <c r="R356" t="inlineStr">
        <is>
          <t xml:space="preserve">QU </t>
        </is>
      </c>
      <c r="S356" t="n">
        <v>3</v>
      </c>
      <c r="T356" t="n">
        <v>27</v>
      </c>
      <c r="U356" t="inlineStr">
        <is>
          <t>1996-02-27</t>
        </is>
      </c>
      <c r="V356" t="inlineStr">
        <is>
          <t>2000-08-22</t>
        </is>
      </c>
      <c r="W356" t="inlineStr">
        <is>
          <t>1987-12-30</t>
        </is>
      </c>
      <c r="X356" t="inlineStr">
        <is>
          <t>1988-01-28</t>
        </is>
      </c>
      <c r="Y356" t="n">
        <v>859</v>
      </c>
      <c r="Z356" t="n">
        <v>691</v>
      </c>
      <c r="AA356" t="n">
        <v>982</v>
      </c>
      <c r="AB356" t="n">
        <v>4</v>
      </c>
      <c r="AC356" t="n">
        <v>6</v>
      </c>
      <c r="AD356" t="n">
        <v>27</v>
      </c>
      <c r="AE356" t="n">
        <v>43</v>
      </c>
      <c r="AF356" t="n">
        <v>11</v>
      </c>
      <c r="AG356" t="n">
        <v>16</v>
      </c>
      <c r="AH356" t="n">
        <v>7</v>
      </c>
      <c r="AI356" t="n">
        <v>11</v>
      </c>
      <c r="AJ356" t="n">
        <v>13</v>
      </c>
      <c r="AK356" t="n">
        <v>18</v>
      </c>
      <c r="AL356" t="n">
        <v>3</v>
      </c>
      <c r="AM356" t="n">
        <v>5</v>
      </c>
      <c r="AN356" t="n">
        <v>0</v>
      </c>
      <c r="AO356" t="n">
        <v>1</v>
      </c>
      <c r="AP356" t="inlineStr">
        <is>
          <t>No</t>
        </is>
      </c>
      <c r="AQ356" t="inlineStr">
        <is>
          <t>Yes</t>
        </is>
      </c>
      <c r="AR356">
        <f>HYPERLINK("http://catalog.hathitrust.org/Record/000117085","HathiTrust Record")</f>
        <v/>
      </c>
      <c r="AS356">
        <f>HYPERLINK("https://creighton-primo.hosted.exlibrisgroup.com/primo-explore/search?tab=default_tab&amp;search_scope=EVERYTHING&amp;vid=01CRU&amp;lang=en_US&amp;offset=0&amp;query=any,contains,991000093219702656","Catalog Record")</f>
        <v/>
      </c>
      <c r="AT356">
        <f>HYPERLINK("http://www.worldcat.org/oclc/134449","WorldCat Record")</f>
        <v/>
      </c>
      <c r="AU356" t="inlineStr">
        <is>
          <t>1070802655:eng</t>
        </is>
      </c>
      <c r="AV356" t="inlineStr">
        <is>
          <t>134449</t>
        </is>
      </c>
      <c r="AW356" t="inlineStr">
        <is>
          <t>991000093219702656</t>
        </is>
      </c>
      <c r="AX356" t="inlineStr">
        <is>
          <t>991000093219702656</t>
        </is>
      </c>
      <c r="AY356" t="inlineStr">
        <is>
          <t>2260845390002656</t>
        </is>
      </c>
      <c r="AZ356" t="inlineStr">
        <is>
          <t>BOOK</t>
        </is>
      </c>
      <c r="BC356" t="inlineStr">
        <is>
          <t>30001000176281</t>
        </is>
      </c>
      <c r="BD356" t="inlineStr">
        <is>
          <t>893135932</t>
        </is>
      </c>
    </row>
    <row r="357">
      <c r="A357" t="inlineStr">
        <is>
          <t>No</t>
        </is>
      </c>
      <c r="B357" t="inlineStr">
        <is>
          <t>QU 135 B791e</t>
        </is>
      </c>
      <c r="C357" t="inlineStr">
        <is>
          <t>0                      QU 0135000B  791e</t>
        </is>
      </c>
      <c r="D357" t="inlineStr">
        <is>
          <t>The Enzymes. Edited by Paul D. Boyer.</t>
        </is>
      </c>
      <c r="E357" t="inlineStr">
        <is>
          <t>V. 1</t>
        </is>
      </c>
      <c r="F357" t="inlineStr">
        <is>
          <t>Yes</t>
        </is>
      </c>
      <c r="G357" t="inlineStr">
        <is>
          <t>1</t>
        </is>
      </c>
      <c r="H357" t="inlineStr">
        <is>
          <t>No</t>
        </is>
      </c>
      <c r="I357" t="inlineStr">
        <is>
          <t>No</t>
        </is>
      </c>
      <c r="J357" t="inlineStr">
        <is>
          <t>0</t>
        </is>
      </c>
      <c r="L357" t="inlineStr">
        <is>
          <t>New York, Academic Press, 1970-1983.</t>
        </is>
      </c>
      <c r="M357" t="inlineStr">
        <is>
          <t>1970</t>
        </is>
      </c>
      <c r="N357" t="inlineStr">
        <is>
          <t>3d ed.</t>
        </is>
      </c>
      <c r="O357" t="inlineStr">
        <is>
          <t>eng</t>
        </is>
      </c>
      <c r="P357" t="inlineStr">
        <is>
          <t>nyu</t>
        </is>
      </c>
      <c r="R357" t="inlineStr">
        <is>
          <t xml:space="preserve">QU </t>
        </is>
      </c>
      <c r="S357" t="n">
        <v>3</v>
      </c>
      <c r="T357" t="n">
        <v>27</v>
      </c>
      <c r="U357" t="inlineStr">
        <is>
          <t>1998-04-14</t>
        </is>
      </c>
      <c r="V357" t="inlineStr">
        <is>
          <t>2000-08-22</t>
        </is>
      </c>
      <c r="W357" t="inlineStr">
        <is>
          <t>1987-12-30</t>
        </is>
      </c>
      <c r="X357" t="inlineStr">
        <is>
          <t>1988-01-28</t>
        </is>
      </c>
      <c r="Y357" t="n">
        <v>859</v>
      </c>
      <c r="Z357" t="n">
        <v>691</v>
      </c>
      <c r="AA357" t="n">
        <v>982</v>
      </c>
      <c r="AB357" t="n">
        <v>4</v>
      </c>
      <c r="AC357" t="n">
        <v>6</v>
      </c>
      <c r="AD357" t="n">
        <v>27</v>
      </c>
      <c r="AE357" t="n">
        <v>43</v>
      </c>
      <c r="AF357" t="n">
        <v>11</v>
      </c>
      <c r="AG357" t="n">
        <v>16</v>
      </c>
      <c r="AH357" t="n">
        <v>7</v>
      </c>
      <c r="AI357" t="n">
        <v>11</v>
      </c>
      <c r="AJ357" t="n">
        <v>13</v>
      </c>
      <c r="AK357" t="n">
        <v>18</v>
      </c>
      <c r="AL357" t="n">
        <v>3</v>
      </c>
      <c r="AM357" t="n">
        <v>5</v>
      </c>
      <c r="AN357" t="n">
        <v>0</v>
      </c>
      <c r="AO357" t="n">
        <v>1</v>
      </c>
      <c r="AP357" t="inlineStr">
        <is>
          <t>No</t>
        </is>
      </c>
      <c r="AQ357" t="inlineStr">
        <is>
          <t>Yes</t>
        </is>
      </c>
      <c r="AR357">
        <f>HYPERLINK("http://catalog.hathitrust.org/Record/000117085","HathiTrust Record")</f>
        <v/>
      </c>
      <c r="AS357">
        <f>HYPERLINK("https://creighton-primo.hosted.exlibrisgroup.com/primo-explore/search?tab=default_tab&amp;search_scope=EVERYTHING&amp;vid=01CRU&amp;lang=en_US&amp;offset=0&amp;query=any,contains,991000093219702656","Catalog Record")</f>
        <v/>
      </c>
      <c r="AT357">
        <f>HYPERLINK("http://www.worldcat.org/oclc/134449","WorldCat Record")</f>
        <v/>
      </c>
      <c r="AU357" t="inlineStr">
        <is>
          <t>1070802655:eng</t>
        </is>
      </c>
      <c r="AV357" t="inlineStr">
        <is>
          <t>134449</t>
        </is>
      </c>
      <c r="AW357" t="inlineStr">
        <is>
          <t>991000093219702656</t>
        </is>
      </c>
      <c r="AX357" t="inlineStr">
        <is>
          <t>991000093219702656</t>
        </is>
      </c>
      <c r="AY357" t="inlineStr">
        <is>
          <t>2260845390002656</t>
        </is>
      </c>
      <c r="AZ357" t="inlineStr">
        <is>
          <t>BOOK</t>
        </is>
      </c>
      <c r="BC357" t="inlineStr">
        <is>
          <t>30001000176182</t>
        </is>
      </c>
      <c r="BD357" t="inlineStr">
        <is>
          <t>893122313</t>
        </is>
      </c>
    </row>
    <row r="358">
      <c r="A358" t="inlineStr">
        <is>
          <t>No</t>
        </is>
      </c>
      <c r="B358" t="inlineStr">
        <is>
          <t>QU 135 B791e</t>
        </is>
      </c>
      <c r="C358" t="inlineStr">
        <is>
          <t>0                      QU 0135000B  791e</t>
        </is>
      </c>
      <c r="D358" t="inlineStr">
        <is>
          <t>The Enzymes. Edited by Paul D. Boyer.</t>
        </is>
      </c>
      <c r="E358" t="inlineStr">
        <is>
          <t>V. 8</t>
        </is>
      </c>
      <c r="F358" t="inlineStr">
        <is>
          <t>Yes</t>
        </is>
      </c>
      <c r="G358" t="inlineStr">
        <is>
          <t>1</t>
        </is>
      </c>
      <c r="H358" t="inlineStr">
        <is>
          <t>No</t>
        </is>
      </c>
      <c r="I358" t="inlineStr">
        <is>
          <t>No</t>
        </is>
      </c>
      <c r="J358" t="inlineStr">
        <is>
          <t>0</t>
        </is>
      </c>
      <c r="L358" t="inlineStr">
        <is>
          <t>New York, Academic Press, 1970-1983.</t>
        </is>
      </c>
      <c r="M358" t="inlineStr">
        <is>
          <t>1970</t>
        </is>
      </c>
      <c r="N358" t="inlineStr">
        <is>
          <t>3d ed.</t>
        </is>
      </c>
      <c r="O358" t="inlineStr">
        <is>
          <t>eng</t>
        </is>
      </c>
      <c r="P358" t="inlineStr">
        <is>
          <t>nyu</t>
        </is>
      </c>
      <c r="R358" t="inlineStr">
        <is>
          <t xml:space="preserve">QU </t>
        </is>
      </c>
      <c r="S358" t="n">
        <v>3</v>
      </c>
      <c r="T358" t="n">
        <v>27</v>
      </c>
      <c r="U358" t="inlineStr">
        <is>
          <t>1997-03-26</t>
        </is>
      </c>
      <c r="V358" t="inlineStr">
        <is>
          <t>2000-08-22</t>
        </is>
      </c>
      <c r="W358" t="inlineStr">
        <is>
          <t>1987-12-30</t>
        </is>
      </c>
      <c r="X358" t="inlineStr">
        <is>
          <t>1988-01-28</t>
        </is>
      </c>
      <c r="Y358" t="n">
        <v>859</v>
      </c>
      <c r="Z358" t="n">
        <v>691</v>
      </c>
      <c r="AA358" t="n">
        <v>982</v>
      </c>
      <c r="AB358" t="n">
        <v>4</v>
      </c>
      <c r="AC358" t="n">
        <v>6</v>
      </c>
      <c r="AD358" t="n">
        <v>27</v>
      </c>
      <c r="AE358" t="n">
        <v>43</v>
      </c>
      <c r="AF358" t="n">
        <v>11</v>
      </c>
      <c r="AG358" t="n">
        <v>16</v>
      </c>
      <c r="AH358" t="n">
        <v>7</v>
      </c>
      <c r="AI358" t="n">
        <v>11</v>
      </c>
      <c r="AJ358" t="n">
        <v>13</v>
      </c>
      <c r="AK358" t="n">
        <v>18</v>
      </c>
      <c r="AL358" t="n">
        <v>3</v>
      </c>
      <c r="AM358" t="n">
        <v>5</v>
      </c>
      <c r="AN358" t="n">
        <v>0</v>
      </c>
      <c r="AO358" t="n">
        <v>1</v>
      </c>
      <c r="AP358" t="inlineStr">
        <is>
          <t>No</t>
        </is>
      </c>
      <c r="AQ358" t="inlineStr">
        <is>
          <t>Yes</t>
        </is>
      </c>
      <c r="AR358">
        <f>HYPERLINK("http://catalog.hathitrust.org/Record/000117085","HathiTrust Record")</f>
        <v/>
      </c>
      <c r="AS358">
        <f>HYPERLINK("https://creighton-primo.hosted.exlibrisgroup.com/primo-explore/search?tab=default_tab&amp;search_scope=EVERYTHING&amp;vid=01CRU&amp;lang=en_US&amp;offset=0&amp;query=any,contains,991000093219702656","Catalog Record")</f>
        <v/>
      </c>
      <c r="AT358">
        <f>HYPERLINK("http://www.worldcat.org/oclc/134449","WorldCat Record")</f>
        <v/>
      </c>
      <c r="AU358" t="inlineStr">
        <is>
          <t>1070802655:eng</t>
        </is>
      </c>
      <c r="AV358" t="inlineStr">
        <is>
          <t>134449</t>
        </is>
      </c>
      <c r="AW358" t="inlineStr">
        <is>
          <t>991000093219702656</t>
        </is>
      </c>
      <c r="AX358" t="inlineStr">
        <is>
          <t>991000093219702656</t>
        </is>
      </c>
      <c r="AY358" t="inlineStr">
        <is>
          <t>2260845390002656</t>
        </is>
      </c>
      <c r="AZ358" t="inlineStr">
        <is>
          <t>BOOK</t>
        </is>
      </c>
      <c r="BC358" t="inlineStr">
        <is>
          <t>30001000176257</t>
        </is>
      </c>
      <c r="BD358" t="inlineStr">
        <is>
          <t>893122312</t>
        </is>
      </c>
    </row>
    <row r="359">
      <c r="A359" t="inlineStr">
        <is>
          <t>No</t>
        </is>
      </c>
      <c r="B359" t="inlineStr">
        <is>
          <t>QU 135 B791e</t>
        </is>
      </c>
      <c r="C359" t="inlineStr">
        <is>
          <t>0                      QU 0135000B  791e</t>
        </is>
      </c>
      <c r="D359" t="inlineStr">
        <is>
          <t>The Enzymes. Edited by Paul D. Boyer.</t>
        </is>
      </c>
      <c r="E359" t="inlineStr">
        <is>
          <t>V. 3</t>
        </is>
      </c>
      <c r="F359" t="inlineStr">
        <is>
          <t>Yes</t>
        </is>
      </c>
      <c r="G359" t="inlineStr">
        <is>
          <t>1</t>
        </is>
      </c>
      <c r="H359" t="inlineStr">
        <is>
          <t>No</t>
        </is>
      </c>
      <c r="I359" t="inlineStr">
        <is>
          <t>No</t>
        </is>
      </c>
      <c r="J359" t="inlineStr">
        <is>
          <t>0</t>
        </is>
      </c>
      <c r="L359" t="inlineStr">
        <is>
          <t>New York, Academic Press, 1970-1983.</t>
        </is>
      </c>
      <c r="M359" t="inlineStr">
        <is>
          <t>1970</t>
        </is>
      </c>
      <c r="N359" t="inlineStr">
        <is>
          <t>3d ed.</t>
        </is>
      </c>
      <c r="O359" t="inlineStr">
        <is>
          <t>eng</t>
        </is>
      </c>
      <c r="P359" t="inlineStr">
        <is>
          <t>nyu</t>
        </is>
      </c>
      <c r="R359" t="inlineStr">
        <is>
          <t xml:space="preserve">QU </t>
        </is>
      </c>
      <c r="S359" t="n">
        <v>3</v>
      </c>
      <c r="T359" t="n">
        <v>27</v>
      </c>
      <c r="U359" t="inlineStr">
        <is>
          <t>2000-08-22</t>
        </is>
      </c>
      <c r="V359" t="inlineStr">
        <is>
          <t>2000-08-22</t>
        </is>
      </c>
      <c r="W359" t="inlineStr">
        <is>
          <t>1987-12-30</t>
        </is>
      </c>
      <c r="X359" t="inlineStr">
        <is>
          <t>1988-01-28</t>
        </is>
      </c>
      <c r="Y359" t="n">
        <v>859</v>
      </c>
      <c r="Z359" t="n">
        <v>691</v>
      </c>
      <c r="AA359" t="n">
        <v>982</v>
      </c>
      <c r="AB359" t="n">
        <v>4</v>
      </c>
      <c r="AC359" t="n">
        <v>6</v>
      </c>
      <c r="AD359" t="n">
        <v>27</v>
      </c>
      <c r="AE359" t="n">
        <v>43</v>
      </c>
      <c r="AF359" t="n">
        <v>11</v>
      </c>
      <c r="AG359" t="n">
        <v>16</v>
      </c>
      <c r="AH359" t="n">
        <v>7</v>
      </c>
      <c r="AI359" t="n">
        <v>11</v>
      </c>
      <c r="AJ359" t="n">
        <v>13</v>
      </c>
      <c r="AK359" t="n">
        <v>18</v>
      </c>
      <c r="AL359" t="n">
        <v>3</v>
      </c>
      <c r="AM359" t="n">
        <v>5</v>
      </c>
      <c r="AN359" t="n">
        <v>0</v>
      </c>
      <c r="AO359" t="n">
        <v>1</v>
      </c>
      <c r="AP359" t="inlineStr">
        <is>
          <t>No</t>
        </is>
      </c>
      <c r="AQ359" t="inlineStr">
        <is>
          <t>Yes</t>
        </is>
      </c>
      <c r="AR359">
        <f>HYPERLINK("http://catalog.hathitrust.org/Record/000117085","HathiTrust Record")</f>
        <v/>
      </c>
      <c r="AS359">
        <f>HYPERLINK("https://creighton-primo.hosted.exlibrisgroup.com/primo-explore/search?tab=default_tab&amp;search_scope=EVERYTHING&amp;vid=01CRU&amp;lang=en_US&amp;offset=0&amp;query=any,contains,991000093219702656","Catalog Record")</f>
        <v/>
      </c>
      <c r="AT359">
        <f>HYPERLINK("http://www.worldcat.org/oclc/134449","WorldCat Record")</f>
        <v/>
      </c>
      <c r="AU359" t="inlineStr">
        <is>
          <t>1070802655:eng</t>
        </is>
      </c>
      <c r="AV359" t="inlineStr">
        <is>
          <t>134449</t>
        </is>
      </c>
      <c r="AW359" t="inlineStr">
        <is>
          <t>991000093219702656</t>
        </is>
      </c>
      <c r="AX359" t="inlineStr">
        <is>
          <t>991000093219702656</t>
        </is>
      </c>
      <c r="AY359" t="inlineStr">
        <is>
          <t>2260845390002656</t>
        </is>
      </c>
      <c r="AZ359" t="inlineStr">
        <is>
          <t>BOOK</t>
        </is>
      </c>
      <c r="BC359" t="inlineStr">
        <is>
          <t>30001000176208</t>
        </is>
      </c>
      <c r="BD359" t="inlineStr">
        <is>
          <t>893122309</t>
        </is>
      </c>
    </row>
    <row r="360">
      <c r="A360" t="inlineStr">
        <is>
          <t>No</t>
        </is>
      </c>
      <c r="B360" t="inlineStr">
        <is>
          <t>QU 135 B791e</t>
        </is>
      </c>
      <c r="C360" t="inlineStr">
        <is>
          <t>0                      QU 0135000B  791e</t>
        </is>
      </c>
      <c r="D360" t="inlineStr">
        <is>
          <t>The Enzymes. Edited by Paul D. Boyer.</t>
        </is>
      </c>
      <c r="E360" t="inlineStr">
        <is>
          <t>V. 9</t>
        </is>
      </c>
      <c r="F360" t="inlineStr">
        <is>
          <t>Yes</t>
        </is>
      </c>
      <c r="G360" t="inlineStr">
        <is>
          <t>1</t>
        </is>
      </c>
      <c r="H360" t="inlineStr">
        <is>
          <t>No</t>
        </is>
      </c>
      <c r="I360" t="inlineStr">
        <is>
          <t>No</t>
        </is>
      </c>
      <c r="J360" t="inlineStr">
        <is>
          <t>0</t>
        </is>
      </c>
      <c r="L360" t="inlineStr">
        <is>
          <t>New York, Academic Press, 1970-1983.</t>
        </is>
      </c>
      <c r="M360" t="inlineStr">
        <is>
          <t>1970</t>
        </is>
      </c>
      <c r="N360" t="inlineStr">
        <is>
          <t>3d ed.</t>
        </is>
      </c>
      <c r="O360" t="inlineStr">
        <is>
          <t>eng</t>
        </is>
      </c>
      <c r="P360" t="inlineStr">
        <is>
          <t>nyu</t>
        </is>
      </c>
      <c r="R360" t="inlineStr">
        <is>
          <t xml:space="preserve">QU </t>
        </is>
      </c>
      <c r="S360" t="n">
        <v>1</v>
      </c>
      <c r="T360" t="n">
        <v>27</v>
      </c>
      <c r="V360" t="inlineStr">
        <is>
          <t>2000-08-22</t>
        </is>
      </c>
      <c r="W360" t="inlineStr">
        <is>
          <t>1987-12-30</t>
        </is>
      </c>
      <c r="X360" t="inlineStr">
        <is>
          <t>1988-01-28</t>
        </is>
      </c>
      <c r="Y360" t="n">
        <v>859</v>
      </c>
      <c r="Z360" t="n">
        <v>691</v>
      </c>
      <c r="AA360" t="n">
        <v>982</v>
      </c>
      <c r="AB360" t="n">
        <v>4</v>
      </c>
      <c r="AC360" t="n">
        <v>6</v>
      </c>
      <c r="AD360" t="n">
        <v>27</v>
      </c>
      <c r="AE360" t="n">
        <v>43</v>
      </c>
      <c r="AF360" t="n">
        <v>11</v>
      </c>
      <c r="AG360" t="n">
        <v>16</v>
      </c>
      <c r="AH360" t="n">
        <v>7</v>
      </c>
      <c r="AI360" t="n">
        <v>11</v>
      </c>
      <c r="AJ360" t="n">
        <v>13</v>
      </c>
      <c r="AK360" t="n">
        <v>18</v>
      </c>
      <c r="AL360" t="n">
        <v>3</v>
      </c>
      <c r="AM360" t="n">
        <v>5</v>
      </c>
      <c r="AN360" t="n">
        <v>0</v>
      </c>
      <c r="AO360" t="n">
        <v>1</v>
      </c>
      <c r="AP360" t="inlineStr">
        <is>
          <t>No</t>
        </is>
      </c>
      <c r="AQ360" t="inlineStr">
        <is>
          <t>Yes</t>
        </is>
      </c>
      <c r="AR360">
        <f>HYPERLINK("http://catalog.hathitrust.org/Record/000117085","HathiTrust Record")</f>
        <v/>
      </c>
      <c r="AS360">
        <f>HYPERLINK("https://creighton-primo.hosted.exlibrisgroup.com/primo-explore/search?tab=default_tab&amp;search_scope=EVERYTHING&amp;vid=01CRU&amp;lang=en_US&amp;offset=0&amp;query=any,contains,991000093219702656","Catalog Record")</f>
        <v/>
      </c>
      <c r="AT360">
        <f>HYPERLINK("http://www.worldcat.org/oclc/134449","WorldCat Record")</f>
        <v/>
      </c>
      <c r="AU360" t="inlineStr">
        <is>
          <t>1070802655:eng</t>
        </is>
      </c>
      <c r="AV360" t="inlineStr">
        <is>
          <t>134449</t>
        </is>
      </c>
      <c r="AW360" t="inlineStr">
        <is>
          <t>991000093219702656</t>
        </is>
      </c>
      <c r="AX360" t="inlineStr">
        <is>
          <t>991000093219702656</t>
        </is>
      </c>
      <c r="AY360" t="inlineStr">
        <is>
          <t>2260845390002656</t>
        </is>
      </c>
      <c r="AZ360" t="inlineStr">
        <is>
          <t>BOOK</t>
        </is>
      </c>
      <c r="BC360" t="inlineStr">
        <is>
          <t>30001000176265</t>
        </is>
      </c>
      <c r="BD360" t="inlineStr">
        <is>
          <t>893122307</t>
        </is>
      </c>
    </row>
    <row r="361">
      <c r="A361" t="inlineStr">
        <is>
          <t>No</t>
        </is>
      </c>
      <c r="B361" t="inlineStr">
        <is>
          <t>QU 135 B791e</t>
        </is>
      </c>
      <c r="C361" t="inlineStr">
        <is>
          <t>0                      QU 0135000B  791e</t>
        </is>
      </c>
      <c r="D361" t="inlineStr">
        <is>
          <t>The Enzymes. Edited by Paul D. Boyer.</t>
        </is>
      </c>
      <c r="E361" t="inlineStr">
        <is>
          <t>V. 2</t>
        </is>
      </c>
      <c r="F361" t="inlineStr">
        <is>
          <t>Yes</t>
        </is>
      </c>
      <c r="G361" t="inlineStr">
        <is>
          <t>1</t>
        </is>
      </c>
      <c r="H361" t="inlineStr">
        <is>
          <t>No</t>
        </is>
      </c>
      <c r="I361" t="inlineStr">
        <is>
          <t>No</t>
        </is>
      </c>
      <c r="J361" t="inlineStr">
        <is>
          <t>0</t>
        </is>
      </c>
      <c r="L361" t="inlineStr">
        <is>
          <t>New York, Academic Press, 1970-1983.</t>
        </is>
      </c>
      <c r="M361" t="inlineStr">
        <is>
          <t>1970</t>
        </is>
      </c>
      <c r="N361" t="inlineStr">
        <is>
          <t>3d ed.</t>
        </is>
      </c>
      <c r="O361" t="inlineStr">
        <is>
          <t>eng</t>
        </is>
      </c>
      <c r="P361" t="inlineStr">
        <is>
          <t>nyu</t>
        </is>
      </c>
      <c r="R361" t="inlineStr">
        <is>
          <t xml:space="preserve">QU </t>
        </is>
      </c>
      <c r="S361" t="n">
        <v>6</v>
      </c>
      <c r="T361" t="n">
        <v>27</v>
      </c>
      <c r="U361" t="inlineStr">
        <is>
          <t>1997-03-26</t>
        </is>
      </c>
      <c r="V361" t="inlineStr">
        <is>
          <t>2000-08-22</t>
        </is>
      </c>
      <c r="W361" t="inlineStr">
        <is>
          <t>1987-12-30</t>
        </is>
      </c>
      <c r="X361" t="inlineStr">
        <is>
          <t>1988-01-28</t>
        </is>
      </c>
      <c r="Y361" t="n">
        <v>859</v>
      </c>
      <c r="Z361" t="n">
        <v>691</v>
      </c>
      <c r="AA361" t="n">
        <v>982</v>
      </c>
      <c r="AB361" t="n">
        <v>4</v>
      </c>
      <c r="AC361" t="n">
        <v>6</v>
      </c>
      <c r="AD361" t="n">
        <v>27</v>
      </c>
      <c r="AE361" t="n">
        <v>43</v>
      </c>
      <c r="AF361" t="n">
        <v>11</v>
      </c>
      <c r="AG361" t="n">
        <v>16</v>
      </c>
      <c r="AH361" t="n">
        <v>7</v>
      </c>
      <c r="AI361" t="n">
        <v>11</v>
      </c>
      <c r="AJ361" t="n">
        <v>13</v>
      </c>
      <c r="AK361" t="n">
        <v>18</v>
      </c>
      <c r="AL361" t="n">
        <v>3</v>
      </c>
      <c r="AM361" t="n">
        <v>5</v>
      </c>
      <c r="AN361" t="n">
        <v>0</v>
      </c>
      <c r="AO361" t="n">
        <v>1</v>
      </c>
      <c r="AP361" t="inlineStr">
        <is>
          <t>No</t>
        </is>
      </c>
      <c r="AQ361" t="inlineStr">
        <is>
          <t>Yes</t>
        </is>
      </c>
      <c r="AR361">
        <f>HYPERLINK("http://catalog.hathitrust.org/Record/000117085","HathiTrust Record")</f>
        <v/>
      </c>
      <c r="AS361">
        <f>HYPERLINK("https://creighton-primo.hosted.exlibrisgroup.com/primo-explore/search?tab=default_tab&amp;search_scope=EVERYTHING&amp;vid=01CRU&amp;lang=en_US&amp;offset=0&amp;query=any,contains,991000093219702656","Catalog Record")</f>
        <v/>
      </c>
      <c r="AT361">
        <f>HYPERLINK("http://www.worldcat.org/oclc/134449","WorldCat Record")</f>
        <v/>
      </c>
      <c r="AU361" t="inlineStr">
        <is>
          <t>1070802655:eng</t>
        </is>
      </c>
      <c r="AV361" t="inlineStr">
        <is>
          <t>134449</t>
        </is>
      </c>
      <c r="AW361" t="inlineStr">
        <is>
          <t>991000093219702656</t>
        </is>
      </c>
      <c r="AX361" t="inlineStr">
        <is>
          <t>991000093219702656</t>
        </is>
      </c>
      <c r="AY361" t="inlineStr">
        <is>
          <t>2260845390002656</t>
        </is>
      </c>
      <c r="AZ361" t="inlineStr">
        <is>
          <t>BOOK</t>
        </is>
      </c>
      <c r="BC361" t="inlineStr">
        <is>
          <t>30001000176190</t>
        </is>
      </c>
      <c r="BD361" t="inlineStr">
        <is>
          <t>893135930</t>
        </is>
      </c>
    </row>
    <row r="362">
      <c r="A362" t="inlineStr">
        <is>
          <t>No</t>
        </is>
      </c>
      <c r="B362" t="inlineStr">
        <is>
          <t>QU 135 B791e</t>
        </is>
      </c>
      <c r="C362" t="inlineStr">
        <is>
          <t>0                      QU 0135000B  791e</t>
        </is>
      </c>
      <c r="D362" t="inlineStr">
        <is>
          <t>The Enzymes. Edited by Paul D. Boyer.</t>
        </is>
      </c>
      <c r="E362" t="inlineStr">
        <is>
          <t>V. 13</t>
        </is>
      </c>
      <c r="F362" t="inlineStr">
        <is>
          <t>Yes</t>
        </is>
      </c>
      <c r="G362" t="inlineStr">
        <is>
          <t>1</t>
        </is>
      </c>
      <c r="H362" t="inlineStr">
        <is>
          <t>No</t>
        </is>
      </c>
      <c r="I362" t="inlineStr">
        <is>
          <t>No</t>
        </is>
      </c>
      <c r="J362" t="inlineStr">
        <is>
          <t>0</t>
        </is>
      </c>
      <c r="L362" t="inlineStr">
        <is>
          <t>New York, Academic Press, 1970-1983.</t>
        </is>
      </c>
      <c r="M362" t="inlineStr">
        <is>
          <t>1970</t>
        </is>
      </c>
      <c r="N362" t="inlineStr">
        <is>
          <t>3d ed.</t>
        </is>
      </c>
      <c r="O362" t="inlineStr">
        <is>
          <t>eng</t>
        </is>
      </c>
      <c r="P362" t="inlineStr">
        <is>
          <t>nyu</t>
        </is>
      </c>
      <c r="R362" t="inlineStr">
        <is>
          <t xml:space="preserve">QU </t>
        </is>
      </c>
      <c r="S362" t="n">
        <v>1</v>
      </c>
      <c r="T362" t="n">
        <v>27</v>
      </c>
      <c r="V362" t="inlineStr">
        <is>
          <t>2000-08-22</t>
        </is>
      </c>
      <c r="W362" t="inlineStr">
        <is>
          <t>1987-12-30</t>
        </is>
      </c>
      <c r="X362" t="inlineStr">
        <is>
          <t>1988-01-28</t>
        </is>
      </c>
      <c r="Y362" t="n">
        <v>859</v>
      </c>
      <c r="Z362" t="n">
        <v>691</v>
      </c>
      <c r="AA362" t="n">
        <v>982</v>
      </c>
      <c r="AB362" t="n">
        <v>4</v>
      </c>
      <c r="AC362" t="n">
        <v>6</v>
      </c>
      <c r="AD362" t="n">
        <v>27</v>
      </c>
      <c r="AE362" t="n">
        <v>43</v>
      </c>
      <c r="AF362" t="n">
        <v>11</v>
      </c>
      <c r="AG362" t="n">
        <v>16</v>
      </c>
      <c r="AH362" t="n">
        <v>7</v>
      </c>
      <c r="AI362" t="n">
        <v>11</v>
      </c>
      <c r="AJ362" t="n">
        <v>13</v>
      </c>
      <c r="AK362" t="n">
        <v>18</v>
      </c>
      <c r="AL362" t="n">
        <v>3</v>
      </c>
      <c r="AM362" t="n">
        <v>5</v>
      </c>
      <c r="AN362" t="n">
        <v>0</v>
      </c>
      <c r="AO362" t="n">
        <v>1</v>
      </c>
      <c r="AP362" t="inlineStr">
        <is>
          <t>No</t>
        </is>
      </c>
      <c r="AQ362" t="inlineStr">
        <is>
          <t>Yes</t>
        </is>
      </c>
      <c r="AR362">
        <f>HYPERLINK("http://catalog.hathitrust.org/Record/000117085","HathiTrust Record")</f>
        <v/>
      </c>
      <c r="AS362">
        <f>HYPERLINK("https://creighton-primo.hosted.exlibrisgroup.com/primo-explore/search?tab=default_tab&amp;search_scope=EVERYTHING&amp;vid=01CRU&amp;lang=en_US&amp;offset=0&amp;query=any,contains,991000093219702656","Catalog Record")</f>
        <v/>
      </c>
      <c r="AT362">
        <f>HYPERLINK("http://www.worldcat.org/oclc/134449","WorldCat Record")</f>
        <v/>
      </c>
      <c r="AU362" t="inlineStr">
        <is>
          <t>1070802655:eng</t>
        </is>
      </c>
      <c r="AV362" t="inlineStr">
        <is>
          <t>134449</t>
        </is>
      </c>
      <c r="AW362" t="inlineStr">
        <is>
          <t>991000093219702656</t>
        </is>
      </c>
      <c r="AX362" t="inlineStr">
        <is>
          <t>991000093219702656</t>
        </is>
      </c>
      <c r="AY362" t="inlineStr">
        <is>
          <t>2260845390002656</t>
        </is>
      </c>
      <c r="AZ362" t="inlineStr">
        <is>
          <t>BOOK</t>
        </is>
      </c>
      <c r="BC362" t="inlineStr">
        <is>
          <t>30001000176315</t>
        </is>
      </c>
      <c r="BD362" t="inlineStr">
        <is>
          <t>893135931</t>
        </is>
      </c>
    </row>
    <row r="363">
      <c r="A363" t="inlineStr">
        <is>
          <t>No</t>
        </is>
      </c>
      <c r="B363" t="inlineStr">
        <is>
          <t>QU 135 B791e</t>
        </is>
      </c>
      <c r="C363" t="inlineStr">
        <is>
          <t>0                      QU 0135000B  791e</t>
        </is>
      </c>
      <c r="D363" t="inlineStr">
        <is>
          <t>The Enzymes. Edited by Paul D. Boyer.</t>
        </is>
      </c>
      <c r="E363" t="inlineStr">
        <is>
          <t>V. 6</t>
        </is>
      </c>
      <c r="F363" t="inlineStr">
        <is>
          <t>Yes</t>
        </is>
      </c>
      <c r="G363" t="inlineStr">
        <is>
          <t>1</t>
        </is>
      </c>
      <c r="H363" t="inlineStr">
        <is>
          <t>No</t>
        </is>
      </c>
      <c r="I363" t="inlineStr">
        <is>
          <t>No</t>
        </is>
      </c>
      <c r="J363" t="inlineStr">
        <is>
          <t>0</t>
        </is>
      </c>
      <c r="L363" t="inlineStr">
        <is>
          <t>New York, Academic Press, 1970-1983.</t>
        </is>
      </c>
      <c r="M363" t="inlineStr">
        <is>
          <t>1970</t>
        </is>
      </c>
      <c r="N363" t="inlineStr">
        <is>
          <t>3d ed.</t>
        </is>
      </c>
      <c r="O363" t="inlineStr">
        <is>
          <t>eng</t>
        </is>
      </c>
      <c r="P363" t="inlineStr">
        <is>
          <t>nyu</t>
        </is>
      </c>
      <c r="R363" t="inlineStr">
        <is>
          <t xml:space="preserve">QU </t>
        </is>
      </c>
      <c r="S363" t="n">
        <v>2</v>
      </c>
      <c r="T363" t="n">
        <v>27</v>
      </c>
      <c r="U363" t="inlineStr">
        <is>
          <t>1994-05-31</t>
        </is>
      </c>
      <c r="V363" t="inlineStr">
        <is>
          <t>2000-08-22</t>
        </is>
      </c>
      <c r="W363" t="inlineStr">
        <is>
          <t>1987-12-30</t>
        </is>
      </c>
      <c r="X363" t="inlineStr">
        <is>
          <t>1988-01-28</t>
        </is>
      </c>
      <c r="Y363" t="n">
        <v>859</v>
      </c>
      <c r="Z363" t="n">
        <v>691</v>
      </c>
      <c r="AA363" t="n">
        <v>982</v>
      </c>
      <c r="AB363" t="n">
        <v>4</v>
      </c>
      <c r="AC363" t="n">
        <v>6</v>
      </c>
      <c r="AD363" t="n">
        <v>27</v>
      </c>
      <c r="AE363" t="n">
        <v>43</v>
      </c>
      <c r="AF363" t="n">
        <v>11</v>
      </c>
      <c r="AG363" t="n">
        <v>16</v>
      </c>
      <c r="AH363" t="n">
        <v>7</v>
      </c>
      <c r="AI363" t="n">
        <v>11</v>
      </c>
      <c r="AJ363" t="n">
        <v>13</v>
      </c>
      <c r="AK363" t="n">
        <v>18</v>
      </c>
      <c r="AL363" t="n">
        <v>3</v>
      </c>
      <c r="AM363" t="n">
        <v>5</v>
      </c>
      <c r="AN363" t="n">
        <v>0</v>
      </c>
      <c r="AO363" t="n">
        <v>1</v>
      </c>
      <c r="AP363" t="inlineStr">
        <is>
          <t>No</t>
        </is>
      </c>
      <c r="AQ363" t="inlineStr">
        <is>
          <t>Yes</t>
        </is>
      </c>
      <c r="AR363">
        <f>HYPERLINK("http://catalog.hathitrust.org/Record/000117085","HathiTrust Record")</f>
        <v/>
      </c>
      <c r="AS363">
        <f>HYPERLINK("https://creighton-primo.hosted.exlibrisgroup.com/primo-explore/search?tab=default_tab&amp;search_scope=EVERYTHING&amp;vid=01CRU&amp;lang=en_US&amp;offset=0&amp;query=any,contains,991000093219702656","Catalog Record")</f>
        <v/>
      </c>
      <c r="AT363">
        <f>HYPERLINK("http://www.worldcat.org/oclc/134449","WorldCat Record")</f>
        <v/>
      </c>
      <c r="AU363" t="inlineStr">
        <is>
          <t>1070802655:eng</t>
        </is>
      </c>
      <c r="AV363" t="inlineStr">
        <is>
          <t>134449</t>
        </is>
      </c>
      <c r="AW363" t="inlineStr">
        <is>
          <t>991000093219702656</t>
        </is>
      </c>
      <c r="AX363" t="inlineStr">
        <is>
          <t>991000093219702656</t>
        </is>
      </c>
      <c r="AY363" t="inlineStr">
        <is>
          <t>2260845390002656</t>
        </is>
      </c>
      <c r="AZ363" t="inlineStr">
        <is>
          <t>BOOK</t>
        </is>
      </c>
      <c r="BC363" t="inlineStr">
        <is>
          <t>30001000176232</t>
        </is>
      </c>
      <c r="BD363" t="inlineStr">
        <is>
          <t>893135933</t>
        </is>
      </c>
    </row>
    <row r="364">
      <c r="A364" t="inlineStr">
        <is>
          <t>No</t>
        </is>
      </c>
      <c r="B364" t="inlineStr">
        <is>
          <t>QU 135 B791e</t>
        </is>
      </c>
      <c r="C364" t="inlineStr">
        <is>
          <t>0                      QU 0135000B  791e</t>
        </is>
      </c>
      <c r="D364" t="inlineStr">
        <is>
          <t>The Enzymes. Edited by Paul D. Boyer.</t>
        </is>
      </c>
      <c r="E364" t="inlineStr">
        <is>
          <t>V. 7</t>
        </is>
      </c>
      <c r="F364" t="inlineStr">
        <is>
          <t>Yes</t>
        </is>
      </c>
      <c r="G364" t="inlineStr">
        <is>
          <t>1</t>
        </is>
      </c>
      <c r="H364" t="inlineStr">
        <is>
          <t>No</t>
        </is>
      </c>
      <c r="I364" t="inlineStr">
        <is>
          <t>No</t>
        </is>
      </c>
      <c r="J364" t="inlineStr">
        <is>
          <t>0</t>
        </is>
      </c>
      <c r="L364" t="inlineStr">
        <is>
          <t>New York, Academic Press, 1970-1983.</t>
        </is>
      </c>
      <c r="M364" t="inlineStr">
        <is>
          <t>1970</t>
        </is>
      </c>
      <c r="N364" t="inlineStr">
        <is>
          <t>3d ed.</t>
        </is>
      </c>
      <c r="O364" t="inlineStr">
        <is>
          <t>eng</t>
        </is>
      </c>
      <c r="P364" t="inlineStr">
        <is>
          <t>nyu</t>
        </is>
      </c>
      <c r="R364" t="inlineStr">
        <is>
          <t xml:space="preserve">QU </t>
        </is>
      </c>
      <c r="S364" t="n">
        <v>0</v>
      </c>
      <c r="T364" t="n">
        <v>27</v>
      </c>
      <c r="V364" t="inlineStr">
        <is>
          <t>2000-08-22</t>
        </is>
      </c>
      <c r="W364" t="inlineStr">
        <is>
          <t>1987-12-30</t>
        </is>
      </c>
      <c r="X364" t="inlineStr">
        <is>
          <t>1988-01-28</t>
        </is>
      </c>
      <c r="Y364" t="n">
        <v>859</v>
      </c>
      <c r="Z364" t="n">
        <v>691</v>
      </c>
      <c r="AA364" t="n">
        <v>982</v>
      </c>
      <c r="AB364" t="n">
        <v>4</v>
      </c>
      <c r="AC364" t="n">
        <v>6</v>
      </c>
      <c r="AD364" t="n">
        <v>27</v>
      </c>
      <c r="AE364" t="n">
        <v>43</v>
      </c>
      <c r="AF364" t="n">
        <v>11</v>
      </c>
      <c r="AG364" t="n">
        <v>16</v>
      </c>
      <c r="AH364" t="n">
        <v>7</v>
      </c>
      <c r="AI364" t="n">
        <v>11</v>
      </c>
      <c r="AJ364" t="n">
        <v>13</v>
      </c>
      <c r="AK364" t="n">
        <v>18</v>
      </c>
      <c r="AL364" t="n">
        <v>3</v>
      </c>
      <c r="AM364" t="n">
        <v>5</v>
      </c>
      <c r="AN364" t="n">
        <v>0</v>
      </c>
      <c r="AO364" t="n">
        <v>1</v>
      </c>
      <c r="AP364" t="inlineStr">
        <is>
          <t>No</t>
        </is>
      </c>
      <c r="AQ364" t="inlineStr">
        <is>
          <t>Yes</t>
        </is>
      </c>
      <c r="AR364">
        <f>HYPERLINK("http://catalog.hathitrust.org/Record/000117085","HathiTrust Record")</f>
        <v/>
      </c>
      <c r="AS364">
        <f>HYPERLINK("https://creighton-primo.hosted.exlibrisgroup.com/primo-explore/search?tab=default_tab&amp;search_scope=EVERYTHING&amp;vid=01CRU&amp;lang=en_US&amp;offset=0&amp;query=any,contains,991000093219702656","Catalog Record")</f>
        <v/>
      </c>
      <c r="AT364">
        <f>HYPERLINK("http://www.worldcat.org/oclc/134449","WorldCat Record")</f>
        <v/>
      </c>
      <c r="AU364" t="inlineStr">
        <is>
          <t>1070802655:eng</t>
        </is>
      </c>
      <c r="AV364" t="inlineStr">
        <is>
          <t>134449</t>
        </is>
      </c>
      <c r="AW364" t="inlineStr">
        <is>
          <t>991000093219702656</t>
        </is>
      </c>
      <c r="AX364" t="inlineStr">
        <is>
          <t>991000093219702656</t>
        </is>
      </c>
      <c r="AY364" t="inlineStr">
        <is>
          <t>2260845390002656</t>
        </is>
      </c>
      <c r="AZ364" t="inlineStr">
        <is>
          <t>BOOK</t>
        </is>
      </c>
      <c r="BC364" t="inlineStr">
        <is>
          <t>30001000176240</t>
        </is>
      </c>
      <c r="BD364" t="inlineStr">
        <is>
          <t>893122308</t>
        </is>
      </c>
    </row>
    <row r="365">
      <c r="A365" t="inlineStr">
        <is>
          <t>No</t>
        </is>
      </c>
      <c r="B365" t="inlineStr">
        <is>
          <t>QU 135 B864L 1974</t>
        </is>
      </c>
      <c r="C365" t="inlineStr">
        <is>
          <t>0                      QU 0135000B  864L        1974</t>
        </is>
      </c>
      <c r="D365" t="inlineStr">
        <is>
          <t>Lipolytic enzymes / Hans Brockerhoff, Robert G. Jensen.</t>
        </is>
      </c>
      <c r="F365" t="inlineStr">
        <is>
          <t>No</t>
        </is>
      </c>
      <c r="G365" t="inlineStr">
        <is>
          <t>1</t>
        </is>
      </c>
      <c r="H365" t="inlineStr">
        <is>
          <t>No</t>
        </is>
      </c>
      <c r="I365" t="inlineStr">
        <is>
          <t>No</t>
        </is>
      </c>
      <c r="J365" t="inlineStr">
        <is>
          <t>0</t>
        </is>
      </c>
      <c r="K365" t="inlineStr">
        <is>
          <t>Brockerhoff, H.</t>
        </is>
      </c>
      <c r="L365" t="inlineStr">
        <is>
          <t>New York : Academic Press, 1974.</t>
        </is>
      </c>
      <c r="M365" t="inlineStr">
        <is>
          <t>1974</t>
        </is>
      </c>
      <c r="O365" t="inlineStr">
        <is>
          <t>eng</t>
        </is>
      </c>
      <c r="P365" t="inlineStr">
        <is>
          <t>nyu</t>
        </is>
      </c>
      <c r="R365" t="inlineStr">
        <is>
          <t xml:space="preserve">QU </t>
        </is>
      </c>
      <c r="S365" t="n">
        <v>7</v>
      </c>
      <c r="T365" t="n">
        <v>7</v>
      </c>
      <c r="U365" t="inlineStr">
        <is>
          <t>1993-12-11</t>
        </is>
      </c>
      <c r="V365" t="inlineStr">
        <is>
          <t>1993-12-11</t>
        </is>
      </c>
      <c r="W365" t="inlineStr">
        <is>
          <t>1988-01-04</t>
        </is>
      </c>
      <c r="X365" t="inlineStr">
        <is>
          <t>1988-01-04</t>
        </is>
      </c>
      <c r="Y365" t="n">
        <v>274</v>
      </c>
      <c r="Z365" t="n">
        <v>172</v>
      </c>
      <c r="AA365" t="n">
        <v>224</v>
      </c>
      <c r="AB365" t="n">
        <v>1</v>
      </c>
      <c r="AC365" t="n">
        <v>2</v>
      </c>
      <c r="AD365" t="n">
        <v>4</v>
      </c>
      <c r="AE365" t="n">
        <v>8</v>
      </c>
      <c r="AF365" t="n">
        <v>1</v>
      </c>
      <c r="AG365" t="n">
        <v>3</v>
      </c>
      <c r="AH365" t="n">
        <v>1</v>
      </c>
      <c r="AI365" t="n">
        <v>3</v>
      </c>
      <c r="AJ365" t="n">
        <v>2</v>
      </c>
      <c r="AK365" t="n">
        <v>2</v>
      </c>
      <c r="AL365" t="n">
        <v>0</v>
      </c>
      <c r="AM365" t="n">
        <v>1</v>
      </c>
      <c r="AN365" t="n">
        <v>0</v>
      </c>
      <c r="AO365" t="n">
        <v>0</v>
      </c>
      <c r="AP365" t="inlineStr">
        <is>
          <t>No</t>
        </is>
      </c>
      <c r="AQ365" t="inlineStr">
        <is>
          <t>Yes</t>
        </is>
      </c>
      <c r="AR365">
        <f>HYPERLINK("http://catalog.hathitrust.org/Record/001555626","HathiTrust Record")</f>
        <v/>
      </c>
      <c r="AS365">
        <f>HYPERLINK("https://creighton-primo.hosted.exlibrisgroup.com/primo-explore/search?tab=default_tab&amp;search_scope=EVERYTHING&amp;vid=01CRU&amp;lang=en_US&amp;offset=0&amp;query=any,contains,991000905329702656","Catalog Record")</f>
        <v/>
      </c>
      <c r="AT365">
        <f>HYPERLINK("http://www.worldcat.org/oclc/902424","WorldCat Record")</f>
        <v/>
      </c>
      <c r="AU365" t="inlineStr">
        <is>
          <t>1836868:eng</t>
        </is>
      </c>
      <c r="AV365" t="inlineStr">
        <is>
          <t>902424</t>
        </is>
      </c>
      <c r="AW365" t="inlineStr">
        <is>
          <t>991000905329702656</t>
        </is>
      </c>
      <c r="AX365" t="inlineStr">
        <is>
          <t>991000905329702656</t>
        </is>
      </c>
      <c r="AY365" t="inlineStr">
        <is>
          <t>2262541790002656</t>
        </is>
      </c>
      <c r="AZ365" t="inlineStr">
        <is>
          <t>BOOK</t>
        </is>
      </c>
      <c r="BC365" t="inlineStr">
        <is>
          <t>30001000176331</t>
        </is>
      </c>
      <c r="BD365" t="inlineStr">
        <is>
          <t>893740568</t>
        </is>
      </c>
    </row>
    <row r="366">
      <c r="A366" t="inlineStr">
        <is>
          <t>No</t>
        </is>
      </c>
      <c r="B366" t="inlineStr">
        <is>
          <t>QU 135 C818f 1995</t>
        </is>
      </c>
      <c r="C366" t="inlineStr">
        <is>
          <t>0                      QU 0135000C  818f        1995</t>
        </is>
      </c>
      <c r="D366" t="inlineStr">
        <is>
          <t>Fundamentals of enzyme kinetics / Athel Cornish-Bowden.</t>
        </is>
      </c>
      <c r="F366" t="inlineStr">
        <is>
          <t>No</t>
        </is>
      </c>
      <c r="G366" t="inlineStr">
        <is>
          <t>1</t>
        </is>
      </c>
      <c r="H366" t="inlineStr">
        <is>
          <t>No</t>
        </is>
      </c>
      <c r="I366" t="inlineStr">
        <is>
          <t>No</t>
        </is>
      </c>
      <c r="J366" t="inlineStr">
        <is>
          <t>0</t>
        </is>
      </c>
      <c r="K366" t="inlineStr">
        <is>
          <t>Cornish-Bowden, Athel.</t>
        </is>
      </c>
      <c r="L366" t="inlineStr">
        <is>
          <t>London : Portland, c1995.</t>
        </is>
      </c>
      <c r="M366" t="inlineStr">
        <is>
          <t>1995</t>
        </is>
      </c>
      <c r="N366" t="inlineStr">
        <is>
          <t>Rev. ed.</t>
        </is>
      </c>
      <c r="O366" t="inlineStr">
        <is>
          <t>eng</t>
        </is>
      </c>
      <c r="P366" t="inlineStr">
        <is>
          <t>enk</t>
        </is>
      </c>
      <c r="R366" t="inlineStr">
        <is>
          <t xml:space="preserve">QU </t>
        </is>
      </c>
      <c r="S366" t="n">
        <v>6</v>
      </c>
      <c r="T366" t="n">
        <v>6</v>
      </c>
      <c r="U366" t="inlineStr">
        <is>
          <t>2002-06-01</t>
        </is>
      </c>
      <c r="V366" t="inlineStr">
        <is>
          <t>2002-06-01</t>
        </is>
      </c>
      <c r="W366" t="inlineStr">
        <is>
          <t>1996-04-19</t>
        </is>
      </c>
      <c r="X366" t="inlineStr">
        <is>
          <t>1996-04-19</t>
        </is>
      </c>
      <c r="Y366" t="n">
        <v>400</v>
      </c>
      <c r="Z366" t="n">
        <v>283</v>
      </c>
      <c r="AA366" t="n">
        <v>598</v>
      </c>
      <c r="AB366" t="n">
        <v>2</v>
      </c>
      <c r="AC366" t="n">
        <v>5</v>
      </c>
      <c r="AD366" t="n">
        <v>15</v>
      </c>
      <c r="AE366" t="n">
        <v>29</v>
      </c>
      <c r="AF366" t="n">
        <v>5</v>
      </c>
      <c r="AG366" t="n">
        <v>10</v>
      </c>
      <c r="AH366" t="n">
        <v>5</v>
      </c>
      <c r="AI366" t="n">
        <v>8</v>
      </c>
      <c r="AJ366" t="n">
        <v>9</v>
      </c>
      <c r="AK366" t="n">
        <v>15</v>
      </c>
      <c r="AL366" t="n">
        <v>1</v>
      </c>
      <c r="AM366" t="n">
        <v>4</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HYPERLINK("https://creighton-primo.hosted.exlibrisgroup.com/primo-explore/search?tab=default_tab&amp;search_scope=EVERYTHING&amp;vid=01CRU&amp;lang=en_US&amp;offset=0&amp;query=any,contains,991001506349702656","Catalog Record")</f>
        <v/>
      </c>
      <c r="AT366">
        <f>HYPERLINK("http://www.worldcat.org/oclc/33103485","WorldCat Record")</f>
        <v/>
      </c>
      <c r="AU366" t="inlineStr">
        <is>
          <t>17265818:eng</t>
        </is>
      </c>
      <c r="AV366" t="inlineStr">
        <is>
          <t>33103485</t>
        </is>
      </c>
      <c r="AW366" t="inlineStr">
        <is>
          <t>991001506349702656</t>
        </is>
      </c>
      <c r="AX366" t="inlineStr">
        <is>
          <t>991001506349702656</t>
        </is>
      </c>
      <c r="AY366" t="inlineStr">
        <is>
          <t>2269934110002656</t>
        </is>
      </c>
      <c r="AZ366" t="inlineStr">
        <is>
          <t>BOOK</t>
        </is>
      </c>
      <c r="BB366" t="inlineStr">
        <is>
          <t>9781855780729</t>
        </is>
      </c>
      <c r="BC366" t="inlineStr">
        <is>
          <t>30001003264480</t>
        </is>
      </c>
      <c r="BD366" t="inlineStr">
        <is>
          <t>893826809</t>
        </is>
      </c>
    </row>
    <row r="367">
      <c r="A367" t="inlineStr">
        <is>
          <t>No</t>
        </is>
      </c>
      <c r="B367" t="inlineStr">
        <is>
          <t>QU 135 D621e 1979</t>
        </is>
      </c>
      <c r="C367" t="inlineStr">
        <is>
          <t>0                      QU 0135000D  621e        1979</t>
        </is>
      </c>
      <c r="D367" t="inlineStr">
        <is>
          <t>Enzymes / Malcolm Dixon and Edwin C. Webb ; assisted by C. J. R. Thorne and K. F. Tipton.</t>
        </is>
      </c>
      <c r="F367" t="inlineStr">
        <is>
          <t>No</t>
        </is>
      </c>
      <c r="G367" t="inlineStr">
        <is>
          <t>1</t>
        </is>
      </c>
      <c r="H367" t="inlineStr">
        <is>
          <t>No</t>
        </is>
      </c>
      <c r="I367" t="inlineStr">
        <is>
          <t>Yes</t>
        </is>
      </c>
      <c r="J367" t="inlineStr">
        <is>
          <t>0</t>
        </is>
      </c>
      <c r="K367" t="inlineStr">
        <is>
          <t>Dixon, Malcolm, 1899-1985.</t>
        </is>
      </c>
      <c r="L367" t="inlineStr">
        <is>
          <t>New York : Academic Press, 1979.</t>
        </is>
      </c>
      <c r="M367" t="inlineStr">
        <is>
          <t>1979</t>
        </is>
      </c>
      <c r="N367" t="inlineStr">
        <is>
          <t>3d ed.</t>
        </is>
      </c>
      <c r="O367" t="inlineStr">
        <is>
          <t>eng</t>
        </is>
      </c>
      <c r="P367" t="inlineStr">
        <is>
          <t>xxu</t>
        </is>
      </c>
      <c r="R367" t="inlineStr">
        <is>
          <t xml:space="preserve">QU </t>
        </is>
      </c>
      <c r="S367" t="n">
        <v>13</v>
      </c>
      <c r="T367" t="n">
        <v>13</v>
      </c>
      <c r="U367" t="inlineStr">
        <is>
          <t>2000-03-20</t>
        </is>
      </c>
      <c r="V367" t="inlineStr">
        <is>
          <t>2000-03-20</t>
        </is>
      </c>
      <c r="W367" t="inlineStr">
        <is>
          <t>1988-01-25</t>
        </is>
      </c>
      <c r="X367" t="inlineStr">
        <is>
          <t>1988-01-25</t>
        </is>
      </c>
      <c r="Y367" t="n">
        <v>404</v>
      </c>
      <c r="Z367" t="n">
        <v>327</v>
      </c>
      <c r="AA367" t="n">
        <v>844</v>
      </c>
      <c r="AB367" t="n">
        <v>2</v>
      </c>
      <c r="AC367" t="n">
        <v>9</v>
      </c>
      <c r="AD367" t="n">
        <v>16</v>
      </c>
      <c r="AE367" t="n">
        <v>38</v>
      </c>
      <c r="AF367" t="n">
        <v>8</v>
      </c>
      <c r="AG367" t="n">
        <v>15</v>
      </c>
      <c r="AH367" t="n">
        <v>2</v>
      </c>
      <c r="AI367" t="n">
        <v>6</v>
      </c>
      <c r="AJ367" t="n">
        <v>8</v>
      </c>
      <c r="AK367" t="n">
        <v>20</v>
      </c>
      <c r="AL367" t="n">
        <v>1</v>
      </c>
      <c r="AM367" t="n">
        <v>7</v>
      </c>
      <c r="AN367" t="n">
        <v>0</v>
      </c>
      <c r="AO367" t="n">
        <v>0</v>
      </c>
      <c r="AP367" t="inlineStr">
        <is>
          <t>No</t>
        </is>
      </c>
      <c r="AQ367" t="inlineStr">
        <is>
          <t>Yes</t>
        </is>
      </c>
      <c r="AR367">
        <f>HYPERLINK("http://catalog.hathitrust.org/Record/000031007","HathiTrust Record")</f>
        <v/>
      </c>
      <c r="AS367">
        <f>HYPERLINK("https://creighton-primo.hosted.exlibrisgroup.com/primo-explore/search?tab=default_tab&amp;search_scope=EVERYTHING&amp;vid=01CRU&amp;lang=en_US&amp;offset=0&amp;query=any,contains,991000905479702656","Catalog Record")</f>
        <v/>
      </c>
      <c r="AT367">
        <f>HYPERLINK("http://www.worldcat.org/oclc/5883060","WorldCat Record")</f>
        <v/>
      </c>
      <c r="AU367" t="inlineStr">
        <is>
          <t>285944:eng</t>
        </is>
      </c>
      <c r="AV367" t="inlineStr">
        <is>
          <t>5883060</t>
        </is>
      </c>
      <c r="AW367" t="inlineStr">
        <is>
          <t>991000905479702656</t>
        </is>
      </c>
      <c r="AX367" t="inlineStr">
        <is>
          <t>991000905479702656</t>
        </is>
      </c>
      <c r="AY367" t="inlineStr">
        <is>
          <t>2256590470002656</t>
        </is>
      </c>
      <c r="AZ367" t="inlineStr">
        <is>
          <t>BOOK</t>
        </is>
      </c>
      <c r="BB367" t="inlineStr">
        <is>
          <t>9780122183584</t>
        </is>
      </c>
      <c r="BC367" t="inlineStr">
        <is>
          <t>30001000176380</t>
        </is>
      </c>
      <c r="BD367" t="inlineStr">
        <is>
          <t>893727081</t>
        </is>
      </c>
    </row>
    <row r="368">
      <c r="A368" t="inlineStr">
        <is>
          <t>No</t>
        </is>
      </c>
      <c r="B368" t="inlineStr">
        <is>
          <t>QU 135 D773d 1991</t>
        </is>
      </c>
      <c r="C368" t="inlineStr">
        <is>
          <t>0                      QU 0135000D  773d        1991</t>
        </is>
      </c>
      <c r="D368" t="inlineStr">
        <is>
          <t>Discovering enzymes / David Dressler, Huntington Potter.</t>
        </is>
      </c>
      <c r="F368" t="inlineStr">
        <is>
          <t>No</t>
        </is>
      </c>
      <c r="G368" t="inlineStr">
        <is>
          <t>1</t>
        </is>
      </c>
      <c r="H368" t="inlineStr">
        <is>
          <t>No</t>
        </is>
      </c>
      <c r="I368" t="inlineStr">
        <is>
          <t>No</t>
        </is>
      </c>
      <c r="J368" t="inlineStr">
        <is>
          <t>0</t>
        </is>
      </c>
      <c r="K368" t="inlineStr">
        <is>
          <t>Dressler, David, 1941-</t>
        </is>
      </c>
      <c r="L368" t="inlineStr">
        <is>
          <t>New York : Scientific American Library : Distributed by W.H. Freeman, c1991.</t>
        </is>
      </c>
      <c r="M368" t="inlineStr">
        <is>
          <t>1991</t>
        </is>
      </c>
      <c r="O368" t="inlineStr">
        <is>
          <t>eng</t>
        </is>
      </c>
      <c r="P368" t="inlineStr">
        <is>
          <t>nyu</t>
        </is>
      </c>
      <c r="R368" t="inlineStr">
        <is>
          <t xml:space="preserve">QU </t>
        </is>
      </c>
      <c r="S368" t="n">
        <v>8</v>
      </c>
      <c r="T368" t="n">
        <v>8</v>
      </c>
      <c r="U368" t="inlineStr">
        <is>
          <t>1997-09-03</t>
        </is>
      </c>
      <c r="V368" t="inlineStr">
        <is>
          <t>1997-09-03</t>
        </is>
      </c>
      <c r="W368" t="inlineStr">
        <is>
          <t>1991-06-14</t>
        </is>
      </c>
      <c r="X368" t="inlineStr">
        <is>
          <t>1991-06-14</t>
        </is>
      </c>
      <c r="Y368" t="n">
        <v>728</v>
      </c>
      <c r="Z368" t="n">
        <v>611</v>
      </c>
      <c r="AA368" t="n">
        <v>633</v>
      </c>
      <c r="AB368" t="n">
        <v>3</v>
      </c>
      <c r="AC368" t="n">
        <v>3</v>
      </c>
      <c r="AD368" t="n">
        <v>21</v>
      </c>
      <c r="AE368" t="n">
        <v>21</v>
      </c>
      <c r="AF368" t="n">
        <v>7</v>
      </c>
      <c r="AG368" t="n">
        <v>7</v>
      </c>
      <c r="AH368" t="n">
        <v>3</v>
      </c>
      <c r="AI368" t="n">
        <v>3</v>
      </c>
      <c r="AJ368" t="n">
        <v>14</v>
      </c>
      <c r="AK368" t="n">
        <v>14</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HYPERLINK("https://creighton-primo.hosted.exlibrisgroup.com/primo-explore/search?tab=default_tab&amp;search_scope=EVERYTHING&amp;vid=01CRU&amp;lang=en_US&amp;offset=0&amp;query=any,contains,991000939429702656","Catalog Record")</f>
        <v/>
      </c>
      <c r="AT368">
        <f>HYPERLINK("http://www.worldcat.org/oclc/22208788","WorldCat Record")</f>
        <v/>
      </c>
      <c r="AU368" t="inlineStr">
        <is>
          <t>353970645:eng</t>
        </is>
      </c>
      <c r="AV368" t="inlineStr">
        <is>
          <t>22208788</t>
        </is>
      </c>
      <c r="AW368" t="inlineStr">
        <is>
          <t>991000939429702656</t>
        </is>
      </c>
      <c r="AX368" t="inlineStr">
        <is>
          <t>991000939429702656</t>
        </is>
      </c>
      <c r="AY368" t="inlineStr">
        <is>
          <t>2255274700002656</t>
        </is>
      </c>
      <c r="AZ368" t="inlineStr">
        <is>
          <t>BOOK</t>
        </is>
      </c>
      <c r="BB368" t="inlineStr">
        <is>
          <t>9780716750130</t>
        </is>
      </c>
      <c r="BC368" t="inlineStr">
        <is>
          <t>30001002192211</t>
        </is>
      </c>
      <c r="BD368" t="inlineStr">
        <is>
          <t>893736059</t>
        </is>
      </c>
    </row>
    <row r="369">
      <c r="A369" t="inlineStr">
        <is>
          <t>No</t>
        </is>
      </c>
      <c r="B369" t="inlineStr">
        <is>
          <t>QU 135 E601 1980</t>
        </is>
      </c>
      <c r="C369" t="inlineStr">
        <is>
          <t>0                      QU 0135000E  601         1980</t>
        </is>
      </c>
      <c r="D369" t="inlineStr">
        <is>
          <t>Enzyme-immunoassay / editor, Edward T. Maggio.</t>
        </is>
      </c>
      <c r="F369" t="inlineStr">
        <is>
          <t>No</t>
        </is>
      </c>
      <c r="G369" t="inlineStr">
        <is>
          <t>1</t>
        </is>
      </c>
      <c r="H369" t="inlineStr">
        <is>
          <t>No</t>
        </is>
      </c>
      <c r="I369" t="inlineStr">
        <is>
          <t>No</t>
        </is>
      </c>
      <c r="J369" t="inlineStr">
        <is>
          <t>0</t>
        </is>
      </c>
      <c r="L369" t="inlineStr">
        <is>
          <t>Boca Raton, Fla. : CRC Press, c1980.</t>
        </is>
      </c>
      <c r="M369" t="inlineStr">
        <is>
          <t>1980</t>
        </is>
      </c>
      <c r="O369" t="inlineStr">
        <is>
          <t>eng</t>
        </is>
      </c>
      <c r="P369" t="inlineStr">
        <is>
          <t>xxu</t>
        </is>
      </c>
      <c r="R369" t="inlineStr">
        <is>
          <t xml:space="preserve">QU </t>
        </is>
      </c>
      <c r="S369" t="n">
        <v>7</v>
      </c>
      <c r="T369" t="n">
        <v>7</v>
      </c>
      <c r="U369" t="inlineStr">
        <is>
          <t>1996-01-23</t>
        </is>
      </c>
      <c r="V369" t="inlineStr">
        <is>
          <t>1996-01-23</t>
        </is>
      </c>
      <c r="W369" t="inlineStr">
        <is>
          <t>1988-01-25</t>
        </is>
      </c>
      <c r="X369" t="inlineStr">
        <is>
          <t>1988-01-25</t>
        </is>
      </c>
      <c r="Y369" t="n">
        <v>366</v>
      </c>
      <c r="Z369" t="n">
        <v>265</v>
      </c>
      <c r="AA369" t="n">
        <v>300</v>
      </c>
      <c r="AB369" t="n">
        <v>2</v>
      </c>
      <c r="AC369" t="n">
        <v>2</v>
      </c>
      <c r="AD369" t="n">
        <v>9</v>
      </c>
      <c r="AE369" t="n">
        <v>9</v>
      </c>
      <c r="AF369" t="n">
        <v>2</v>
      </c>
      <c r="AG369" t="n">
        <v>2</v>
      </c>
      <c r="AH369" t="n">
        <v>5</v>
      </c>
      <c r="AI369" t="n">
        <v>5</v>
      </c>
      <c r="AJ369" t="n">
        <v>4</v>
      </c>
      <c r="AK369" t="n">
        <v>4</v>
      </c>
      <c r="AL369" t="n">
        <v>1</v>
      </c>
      <c r="AM369" t="n">
        <v>1</v>
      </c>
      <c r="AN369" t="n">
        <v>0</v>
      </c>
      <c r="AO369" t="n">
        <v>0</v>
      </c>
      <c r="AP369" t="inlineStr">
        <is>
          <t>No</t>
        </is>
      </c>
      <c r="AQ369" t="inlineStr">
        <is>
          <t>Yes</t>
        </is>
      </c>
      <c r="AR369">
        <f>HYPERLINK("http://catalog.hathitrust.org/Record/000708483","HathiTrust Record")</f>
        <v/>
      </c>
      <c r="AS369">
        <f>HYPERLINK("https://creighton-primo.hosted.exlibrisgroup.com/primo-explore/search?tab=default_tab&amp;search_scope=EVERYTHING&amp;vid=01CRU&amp;lang=en_US&amp;offset=0&amp;query=any,contains,991000905519702656","Catalog Record")</f>
        <v/>
      </c>
      <c r="AT369">
        <f>HYPERLINK("http://www.worldcat.org/oclc/5777019","WorldCat Record")</f>
        <v/>
      </c>
      <c r="AU369" t="inlineStr">
        <is>
          <t>54349210:eng</t>
        </is>
      </c>
      <c r="AV369" t="inlineStr">
        <is>
          <t>5777019</t>
        </is>
      </c>
      <c r="AW369" t="inlineStr">
        <is>
          <t>991000905519702656</t>
        </is>
      </c>
      <c r="AX369" t="inlineStr">
        <is>
          <t>991000905519702656</t>
        </is>
      </c>
      <c r="AY369" t="inlineStr">
        <is>
          <t>2267035720002656</t>
        </is>
      </c>
      <c r="AZ369" t="inlineStr">
        <is>
          <t>BOOK</t>
        </is>
      </c>
      <c r="BB369" t="inlineStr">
        <is>
          <t>9780849356179</t>
        </is>
      </c>
      <c r="BC369" t="inlineStr">
        <is>
          <t>30001000176398</t>
        </is>
      </c>
      <c r="BD369" t="inlineStr">
        <is>
          <t>893540803</t>
        </is>
      </c>
    </row>
    <row r="370">
      <c r="A370" t="inlineStr">
        <is>
          <t>No</t>
        </is>
      </c>
      <c r="B370" t="inlineStr">
        <is>
          <t>QU 135 E61 1990</t>
        </is>
      </c>
      <c r="C370" t="inlineStr">
        <is>
          <t>0                      QU 0135000E  61          1990</t>
        </is>
      </c>
      <c r="D370" t="inlineStr">
        <is>
          <t>Enzyme handbook / D. Schomburg, M. Salzmann (eds.).</t>
        </is>
      </c>
      <c r="E370" t="inlineStr">
        <is>
          <t>V. 1</t>
        </is>
      </c>
      <c r="F370" t="inlineStr">
        <is>
          <t>No</t>
        </is>
      </c>
      <c r="G370" t="inlineStr">
        <is>
          <t>1</t>
        </is>
      </c>
      <c r="H370" t="inlineStr">
        <is>
          <t>No</t>
        </is>
      </c>
      <c r="I370" t="inlineStr">
        <is>
          <t>No</t>
        </is>
      </c>
      <c r="J370" t="inlineStr">
        <is>
          <t>0</t>
        </is>
      </c>
      <c r="L370" t="inlineStr">
        <is>
          <t>Berlin ; New York : Springer-Verlag, c1990.</t>
        </is>
      </c>
      <c r="M370" t="inlineStr">
        <is>
          <t>1990</t>
        </is>
      </c>
      <c r="O370" t="inlineStr">
        <is>
          <t>eng</t>
        </is>
      </c>
      <c r="P370" t="inlineStr">
        <is>
          <t xml:space="preserve">gw </t>
        </is>
      </c>
      <c r="R370" t="inlineStr">
        <is>
          <t xml:space="preserve">QU </t>
        </is>
      </c>
      <c r="S370" t="n">
        <v>1</v>
      </c>
      <c r="T370" t="n">
        <v>1</v>
      </c>
      <c r="U370" t="inlineStr">
        <is>
          <t>1991-10-16</t>
        </is>
      </c>
      <c r="V370" t="inlineStr">
        <is>
          <t>1991-10-16</t>
        </is>
      </c>
      <c r="W370" t="inlineStr">
        <is>
          <t>1991-10-16</t>
        </is>
      </c>
      <c r="X370" t="inlineStr">
        <is>
          <t>1991-10-16</t>
        </is>
      </c>
      <c r="Y370" t="n">
        <v>190</v>
      </c>
      <c r="Z370" t="n">
        <v>143</v>
      </c>
      <c r="AA370" t="n">
        <v>143</v>
      </c>
      <c r="AB370" t="n">
        <v>3</v>
      </c>
      <c r="AC370" t="n">
        <v>3</v>
      </c>
      <c r="AD370" t="n">
        <v>9</v>
      </c>
      <c r="AE370" t="n">
        <v>9</v>
      </c>
      <c r="AF370" t="n">
        <v>1</v>
      </c>
      <c r="AG370" t="n">
        <v>1</v>
      </c>
      <c r="AH370" t="n">
        <v>2</v>
      </c>
      <c r="AI370" t="n">
        <v>2</v>
      </c>
      <c r="AJ370" t="n">
        <v>4</v>
      </c>
      <c r="AK370" t="n">
        <v>4</v>
      </c>
      <c r="AL370" t="n">
        <v>2</v>
      </c>
      <c r="AM370" t="n">
        <v>2</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HYPERLINK("https://creighton-primo.hosted.exlibrisgroup.com/primo-explore/search?tab=default_tab&amp;search_scope=EVERYTHING&amp;vid=01CRU&amp;lang=en_US&amp;offset=0&amp;query=any,contains,991001019389702656","Catalog Record")</f>
        <v/>
      </c>
      <c r="AT370">
        <f>HYPERLINK("http://www.worldcat.org/oclc/23868840","WorldCat Record")</f>
        <v/>
      </c>
      <c r="AU370" t="inlineStr">
        <is>
          <t>10567943770:eng</t>
        </is>
      </c>
      <c r="AV370" t="inlineStr">
        <is>
          <t>23868840</t>
        </is>
      </c>
      <c r="AW370" t="inlineStr">
        <is>
          <t>991001019389702656</t>
        </is>
      </c>
      <c r="AX370" t="inlineStr">
        <is>
          <t>991001019389702656</t>
        </is>
      </c>
      <c r="AY370" t="inlineStr">
        <is>
          <t>2269655070002656</t>
        </is>
      </c>
      <c r="AZ370" t="inlineStr">
        <is>
          <t>BOOK</t>
        </is>
      </c>
      <c r="BB370" t="inlineStr">
        <is>
          <t>9780387525792</t>
        </is>
      </c>
      <c r="BC370" t="inlineStr">
        <is>
          <t>30001002241331</t>
        </is>
      </c>
      <c r="BD370" t="inlineStr">
        <is>
          <t>893134184</t>
        </is>
      </c>
    </row>
    <row r="371">
      <c r="A371" t="inlineStr">
        <is>
          <t>No</t>
        </is>
      </c>
      <c r="B371" t="inlineStr">
        <is>
          <t>QU 135 E622 1978</t>
        </is>
      </c>
      <c r="C371" t="inlineStr">
        <is>
          <t>0                      QU 0135000E  622         1978</t>
        </is>
      </c>
      <c r="D371" t="inlineStr">
        <is>
          <t>Enzymes in anesthesiology / edited by Francis F. Foldes ; with contributions by A. A. Aszalos ... [et al.].</t>
        </is>
      </c>
      <c r="F371" t="inlineStr">
        <is>
          <t>No</t>
        </is>
      </c>
      <c r="G371" t="inlineStr">
        <is>
          <t>1</t>
        </is>
      </c>
      <c r="H371" t="inlineStr">
        <is>
          <t>No</t>
        </is>
      </c>
      <c r="I371" t="inlineStr">
        <is>
          <t>No</t>
        </is>
      </c>
      <c r="J371" t="inlineStr">
        <is>
          <t>0</t>
        </is>
      </c>
      <c r="L371" t="inlineStr">
        <is>
          <t>New York : Springer-Verlag, c1978.</t>
        </is>
      </c>
      <c r="M371" t="inlineStr">
        <is>
          <t>1978</t>
        </is>
      </c>
      <c r="O371" t="inlineStr">
        <is>
          <t>eng</t>
        </is>
      </c>
      <c r="P371" t="inlineStr">
        <is>
          <t>nyu</t>
        </is>
      </c>
      <c r="R371" t="inlineStr">
        <is>
          <t xml:space="preserve">QU </t>
        </is>
      </c>
      <c r="S371" t="n">
        <v>2</v>
      </c>
      <c r="T371" t="n">
        <v>2</v>
      </c>
      <c r="U371" t="inlineStr">
        <is>
          <t>1996-03-06</t>
        </is>
      </c>
      <c r="V371" t="inlineStr">
        <is>
          <t>1996-03-06</t>
        </is>
      </c>
      <c r="W371" t="inlineStr">
        <is>
          <t>1987-12-29</t>
        </is>
      </c>
      <c r="X371" t="inlineStr">
        <is>
          <t>1987-12-29</t>
        </is>
      </c>
      <c r="Y371" t="n">
        <v>128</v>
      </c>
      <c r="Z371" t="n">
        <v>79</v>
      </c>
      <c r="AA371" t="n">
        <v>100</v>
      </c>
      <c r="AB371" t="n">
        <v>1</v>
      </c>
      <c r="AC371" t="n">
        <v>1</v>
      </c>
      <c r="AD371" t="n">
        <v>0</v>
      </c>
      <c r="AE371" t="n">
        <v>0</v>
      </c>
      <c r="AF371" t="n">
        <v>0</v>
      </c>
      <c r="AG371" t="n">
        <v>0</v>
      </c>
      <c r="AH371" t="n">
        <v>0</v>
      </c>
      <c r="AI371" t="n">
        <v>0</v>
      </c>
      <c r="AJ371" t="n">
        <v>0</v>
      </c>
      <c r="AK371" t="n">
        <v>0</v>
      </c>
      <c r="AL371" t="n">
        <v>0</v>
      </c>
      <c r="AM371" t="n">
        <v>0</v>
      </c>
      <c r="AN371" t="n">
        <v>0</v>
      </c>
      <c r="AO371" t="n">
        <v>0</v>
      </c>
      <c r="AP371" t="inlineStr">
        <is>
          <t>No</t>
        </is>
      </c>
      <c r="AQ371" t="inlineStr">
        <is>
          <t>Yes</t>
        </is>
      </c>
      <c r="AR371">
        <f>HYPERLINK("http://catalog.hathitrust.org/Record/000089420","HathiTrust Record")</f>
        <v/>
      </c>
      <c r="AS371">
        <f>HYPERLINK("https://creighton-primo.hosted.exlibrisgroup.com/primo-explore/search?tab=default_tab&amp;search_scope=EVERYTHING&amp;vid=01CRU&amp;lang=en_US&amp;offset=0&amp;query=any,contains,991000905559702656","Catalog Record")</f>
        <v/>
      </c>
      <c r="AT371">
        <f>HYPERLINK("http://www.worldcat.org/oclc/3541065","WorldCat Record")</f>
        <v/>
      </c>
      <c r="AU371" t="inlineStr">
        <is>
          <t>11337518:eng</t>
        </is>
      </c>
      <c r="AV371" t="inlineStr">
        <is>
          <t>3541065</t>
        </is>
      </c>
      <c r="AW371" t="inlineStr">
        <is>
          <t>991000905559702656</t>
        </is>
      </c>
      <c r="AX371" t="inlineStr">
        <is>
          <t>991000905559702656</t>
        </is>
      </c>
      <c r="AY371" t="inlineStr">
        <is>
          <t>2266041640002656</t>
        </is>
      </c>
      <c r="AZ371" t="inlineStr">
        <is>
          <t>BOOK</t>
        </is>
      </c>
      <c r="BB371" t="inlineStr">
        <is>
          <t>9780387902418</t>
        </is>
      </c>
      <c r="BC371" t="inlineStr">
        <is>
          <t>30001000176406</t>
        </is>
      </c>
      <c r="BD371" t="inlineStr">
        <is>
          <t>893727082</t>
        </is>
      </c>
    </row>
    <row r="372">
      <c r="A372" t="inlineStr">
        <is>
          <t>No</t>
        </is>
      </c>
      <c r="B372" t="inlineStr">
        <is>
          <t>QU 135 F399e 1985</t>
        </is>
      </c>
      <c r="C372" t="inlineStr">
        <is>
          <t>0                      QU 0135000F  399e        1985</t>
        </is>
      </c>
      <c r="D372" t="inlineStr">
        <is>
          <t>Enzyme structure and mechanism / Alan Fersht.</t>
        </is>
      </c>
      <c r="F372" t="inlineStr">
        <is>
          <t>No</t>
        </is>
      </c>
      <c r="G372" t="inlineStr">
        <is>
          <t>1</t>
        </is>
      </c>
      <c r="H372" t="inlineStr">
        <is>
          <t>Yes</t>
        </is>
      </c>
      <c r="I372" t="inlineStr">
        <is>
          <t>No</t>
        </is>
      </c>
      <c r="J372" t="inlineStr">
        <is>
          <t>0</t>
        </is>
      </c>
      <c r="K372" t="inlineStr">
        <is>
          <t>Fersht, Alan, 1943-</t>
        </is>
      </c>
      <c r="L372" t="inlineStr">
        <is>
          <t>Reading [Berkshire] ; San Francisco : Freeman, c1985.</t>
        </is>
      </c>
      <c r="M372" t="inlineStr">
        <is>
          <t>1985</t>
        </is>
      </c>
      <c r="N372" t="inlineStr">
        <is>
          <t>2nd ed.</t>
        </is>
      </c>
      <c r="O372" t="inlineStr">
        <is>
          <t>eng</t>
        </is>
      </c>
      <c r="P372" t="inlineStr">
        <is>
          <t>enk</t>
        </is>
      </c>
      <c r="R372" t="inlineStr">
        <is>
          <t xml:space="preserve">QU </t>
        </is>
      </c>
      <c r="S372" t="n">
        <v>6</v>
      </c>
      <c r="T372" t="n">
        <v>6</v>
      </c>
      <c r="U372" t="inlineStr">
        <is>
          <t>1997-07-15</t>
        </is>
      </c>
      <c r="V372" t="inlineStr">
        <is>
          <t>1997-07-15</t>
        </is>
      </c>
      <c r="W372" t="inlineStr">
        <is>
          <t>1989-07-21</t>
        </is>
      </c>
      <c r="X372" t="inlineStr">
        <is>
          <t>1989-07-21</t>
        </is>
      </c>
      <c r="Y372" t="n">
        <v>730</v>
      </c>
      <c r="Z372" t="n">
        <v>518</v>
      </c>
      <c r="AA372" t="n">
        <v>823</v>
      </c>
      <c r="AB372" t="n">
        <v>3</v>
      </c>
      <c r="AC372" t="n">
        <v>7</v>
      </c>
      <c r="AD372" t="n">
        <v>20</v>
      </c>
      <c r="AE372" t="n">
        <v>36</v>
      </c>
      <c r="AF372" t="n">
        <v>7</v>
      </c>
      <c r="AG372" t="n">
        <v>14</v>
      </c>
      <c r="AH372" t="n">
        <v>4</v>
      </c>
      <c r="AI372" t="n">
        <v>8</v>
      </c>
      <c r="AJ372" t="n">
        <v>12</v>
      </c>
      <c r="AK372" t="n">
        <v>20</v>
      </c>
      <c r="AL372" t="n">
        <v>1</v>
      </c>
      <c r="AM372" t="n">
        <v>5</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HYPERLINK("https://creighton-primo.hosted.exlibrisgroup.com/primo-explore/search?tab=default_tab&amp;search_scope=EVERYTHING&amp;vid=01CRU&amp;lang=en_US&amp;offset=0&amp;query=any,contains,991000758879702656","Catalog Record")</f>
        <v/>
      </c>
      <c r="AT372">
        <f>HYPERLINK("http://www.worldcat.org/oclc/10505784","WorldCat Record")</f>
        <v/>
      </c>
      <c r="AU372" t="inlineStr">
        <is>
          <t>2876355:eng</t>
        </is>
      </c>
      <c r="AV372" t="inlineStr">
        <is>
          <t>10505784</t>
        </is>
      </c>
      <c r="AW372" t="inlineStr">
        <is>
          <t>991000758879702656</t>
        </is>
      </c>
      <c r="AX372" t="inlineStr">
        <is>
          <t>991000758879702656</t>
        </is>
      </c>
      <c r="AY372" t="inlineStr">
        <is>
          <t>2254730970002656</t>
        </is>
      </c>
      <c r="AZ372" t="inlineStr">
        <is>
          <t>BOOK</t>
        </is>
      </c>
      <c r="BB372" t="inlineStr">
        <is>
          <t>9780716716143</t>
        </is>
      </c>
      <c r="BC372" t="inlineStr">
        <is>
          <t>30001000055006</t>
        </is>
      </c>
      <c r="BD372" t="inlineStr">
        <is>
          <t>893133686</t>
        </is>
      </c>
    </row>
    <row r="373">
      <c r="A373" t="inlineStr">
        <is>
          <t>No</t>
        </is>
      </c>
      <c r="B373" t="inlineStr">
        <is>
          <t>QU 135 IS62 1985 v.12</t>
        </is>
      </c>
      <c r="C373" t="inlineStr">
        <is>
          <t>0                      QU 0135000IS 62          1985                                        v.12</t>
        </is>
      </c>
      <c r="D373" t="inlineStr">
        <is>
          <t>Isozymes. Volume 12 : current topics in biological and medical research / editors, Mario C. Rattazzi, John G. Scandalios, Gregory S. Whitt.</t>
        </is>
      </c>
      <c r="E373" t="inlineStr">
        <is>
          <t>V.12</t>
        </is>
      </c>
      <c r="F373" t="inlineStr">
        <is>
          <t>No</t>
        </is>
      </c>
      <c r="G373" t="inlineStr">
        <is>
          <t>1</t>
        </is>
      </c>
      <c r="H373" t="inlineStr">
        <is>
          <t>No</t>
        </is>
      </c>
      <c r="I373" t="inlineStr">
        <is>
          <t>No</t>
        </is>
      </c>
      <c r="J373" t="inlineStr">
        <is>
          <t>0</t>
        </is>
      </c>
      <c r="L373" t="inlineStr">
        <is>
          <t>New York : Liss, c1985.</t>
        </is>
      </c>
      <c r="M373" t="inlineStr">
        <is>
          <t>1985</t>
        </is>
      </c>
      <c r="O373" t="inlineStr">
        <is>
          <t>eng</t>
        </is>
      </c>
      <c r="P373" t="inlineStr">
        <is>
          <t>dcu</t>
        </is>
      </c>
      <c r="R373" t="inlineStr">
        <is>
          <t xml:space="preserve">QU </t>
        </is>
      </c>
      <c r="S373" t="n">
        <v>2</v>
      </c>
      <c r="T373" t="n">
        <v>2</v>
      </c>
      <c r="U373" t="inlineStr">
        <is>
          <t>1990-09-25</t>
        </is>
      </c>
      <c r="V373" t="inlineStr">
        <is>
          <t>1990-09-25</t>
        </is>
      </c>
      <c r="W373" t="inlineStr">
        <is>
          <t>1988-01-25</t>
        </is>
      </c>
      <c r="X373" t="inlineStr">
        <is>
          <t>1988-01-25</t>
        </is>
      </c>
      <c r="Y373" t="n">
        <v>9</v>
      </c>
      <c r="Z373" t="n">
        <v>7</v>
      </c>
      <c r="AA373" t="n">
        <v>7</v>
      </c>
      <c r="AB373" t="n">
        <v>1</v>
      </c>
      <c r="AC373" t="n">
        <v>1</v>
      </c>
      <c r="AD373" t="n">
        <v>0</v>
      </c>
      <c r="AE373" t="n">
        <v>0</v>
      </c>
      <c r="AF373" t="n">
        <v>0</v>
      </c>
      <c r="AG373" t="n">
        <v>0</v>
      </c>
      <c r="AH373" t="n">
        <v>0</v>
      </c>
      <c r="AI373" t="n">
        <v>0</v>
      </c>
      <c r="AJ373" t="n">
        <v>0</v>
      </c>
      <c r="AK373" t="n">
        <v>0</v>
      </c>
      <c r="AL373" t="n">
        <v>0</v>
      </c>
      <c r="AM373" t="n">
        <v>0</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HYPERLINK("https://creighton-primo.hosted.exlibrisgroup.com/primo-explore/search?tab=default_tab&amp;search_scope=EVERYTHING&amp;vid=01CRU&amp;lang=en_US&amp;offset=0&amp;query=any,contains,991000906039702656","Catalog Record")</f>
        <v/>
      </c>
      <c r="AT373">
        <f>HYPERLINK("http://www.worldcat.org/oclc/12951851","WorldCat Record")</f>
        <v/>
      </c>
      <c r="AU373" t="inlineStr">
        <is>
          <t>5608857752:eng</t>
        </is>
      </c>
      <c r="AV373" t="inlineStr">
        <is>
          <t>12951851</t>
        </is>
      </c>
      <c r="AW373" t="inlineStr">
        <is>
          <t>991000906039702656</t>
        </is>
      </c>
      <c r="AX373" t="inlineStr">
        <is>
          <t>991000906039702656</t>
        </is>
      </c>
      <c r="AY373" t="inlineStr">
        <is>
          <t>2264062090002656</t>
        </is>
      </c>
      <c r="AZ373" t="inlineStr">
        <is>
          <t>BOOK</t>
        </is>
      </c>
      <c r="BB373" t="inlineStr">
        <is>
          <t>9780845102619</t>
        </is>
      </c>
      <c r="BC373" t="inlineStr">
        <is>
          <t>30001000176869</t>
        </is>
      </c>
      <c r="BD373" t="inlineStr">
        <is>
          <t>893642958</t>
        </is>
      </c>
    </row>
    <row r="374">
      <c r="A374" t="inlineStr">
        <is>
          <t>No</t>
        </is>
      </c>
      <c r="B374" t="inlineStr">
        <is>
          <t>QU 135 P536 1978</t>
        </is>
      </c>
      <c r="C374" t="inlineStr">
        <is>
          <t>0                      QU 0135000P  536         1978</t>
        </is>
      </c>
      <c r="D374" t="inlineStr">
        <is>
          <t>Pharmaceutical enzymes : properties and assay methods / editors, R. Ruyssen and A. Lauwers ; contributors, R. Babin ... [et al.].</t>
        </is>
      </c>
      <c r="F374" t="inlineStr">
        <is>
          <t>No</t>
        </is>
      </c>
      <c r="G374" t="inlineStr">
        <is>
          <t>1</t>
        </is>
      </c>
      <c r="H374" t="inlineStr">
        <is>
          <t>No</t>
        </is>
      </c>
      <c r="I374" t="inlineStr">
        <is>
          <t>No</t>
        </is>
      </c>
      <c r="J374" t="inlineStr">
        <is>
          <t>0</t>
        </is>
      </c>
      <c r="L374" t="inlineStr">
        <is>
          <t>Gent : Story-Scientia, 1978.</t>
        </is>
      </c>
      <c r="M374" t="inlineStr">
        <is>
          <t>1978</t>
        </is>
      </c>
      <c r="O374" t="inlineStr">
        <is>
          <t>eng</t>
        </is>
      </c>
      <c r="P374" t="inlineStr">
        <is>
          <t xml:space="preserve">be </t>
        </is>
      </c>
      <c r="R374" t="inlineStr">
        <is>
          <t xml:space="preserve">QU </t>
        </is>
      </c>
      <c r="S374" t="n">
        <v>3</v>
      </c>
      <c r="T374" t="n">
        <v>3</v>
      </c>
      <c r="U374" t="inlineStr">
        <is>
          <t>2003-02-09</t>
        </is>
      </c>
      <c r="V374" t="inlineStr">
        <is>
          <t>2003-02-09</t>
        </is>
      </c>
      <c r="W374" t="inlineStr">
        <is>
          <t>1988-01-27</t>
        </is>
      </c>
      <c r="X374" t="inlineStr">
        <is>
          <t>1988-01-27</t>
        </is>
      </c>
      <c r="Y374" t="n">
        <v>67</v>
      </c>
      <c r="Z374" t="n">
        <v>50</v>
      </c>
      <c r="AA374" t="n">
        <v>52</v>
      </c>
      <c r="AB374" t="n">
        <v>1</v>
      </c>
      <c r="AC374" t="n">
        <v>1</v>
      </c>
      <c r="AD374" t="n">
        <v>0</v>
      </c>
      <c r="AE374" t="n">
        <v>0</v>
      </c>
      <c r="AF374" t="n">
        <v>0</v>
      </c>
      <c r="AG374" t="n">
        <v>0</v>
      </c>
      <c r="AH374" t="n">
        <v>0</v>
      </c>
      <c r="AI374" t="n">
        <v>0</v>
      </c>
      <c r="AJ374" t="n">
        <v>0</v>
      </c>
      <c r="AK374" t="n">
        <v>0</v>
      </c>
      <c r="AL374" t="n">
        <v>0</v>
      </c>
      <c r="AM374" t="n">
        <v>0</v>
      </c>
      <c r="AN374" t="n">
        <v>0</v>
      </c>
      <c r="AO374" t="n">
        <v>0</v>
      </c>
      <c r="AP374" t="inlineStr">
        <is>
          <t>No</t>
        </is>
      </c>
      <c r="AQ374" t="inlineStr">
        <is>
          <t>Yes</t>
        </is>
      </c>
      <c r="AR374">
        <f>HYPERLINK("http://catalog.hathitrust.org/Record/001545462","HathiTrust Record")</f>
        <v/>
      </c>
      <c r="AS374">
        <f>HYPERLINK("https://creighton-primo.hosted.exlibrisgroup.com/primo-explore/search?tab=default_tab&amp;search_scope=EVERYTHING&amp;vid=01CRU&amp;lang=en_US&amp;offset=0&amp;query=any,contains,991000905999702656","Catalog Record")</f>
        <v/>
      </c>
      <c r="AT374">
        <f>HYPERLINK("http://www.worldcat.org/oclc/7667697","WorldCat Record")</f>
        <v/>
      </c>
      <c r="AU374" t="inlineStr">
        <is>
          <t>984025192:eng</t>
        </is>
      </c>
      <c r="AV374" t="inlineStr">
        <is>
          <t>7667697</t>
        </is>
      </c>
      <c r="AW374" t="inlineStr">
        <is>
          <t>991000905999702656</t>
        </is>
      </c>
      <c r="AX374" t="inlineStr">
        <is>
          <t>991000905999702656</t>
        </is>
      </c>
      <c r="AY374" t="inlineStr">
        <is>
          <t>2263862020002656</t>
        </is>
      </c>
      <c r="AZ374" t="inlineStr">
        <is>
          <t>BOOK</t>
        </is>
      </c>
      <c r="BC374" t="inlineStr">
        <is>
          <t>30001000176802</t>
        </is>
      </c>
      <c r="BD374" t="inlineStr">
        <is>
          <t>893284108</t>
        </is>
      </c>
    </row>
    <row r="375">
      <c r="A375" t="inlineStr">
        <is>
          <t>No</t>
        </is>
      </c>
      <c r="B375" t="inlineStr">
        <is>
          <t>QU 135 P536 1997</t>
        </is>
      </c>
      <c r="C375" t="inlineStr">
        <is>
          <t>0                      QU 0135000P  536         1997</t>
        </is>
      </c>
      <c r="D375" t="inlineStr">
        <is>
          <t>Pharmaceutical enzymes / edited by Albert Lauwers, Simon Scharpé.</t>
        </is>
      </c>
      <c r="F375" t="inlineStr">
        <is>
          <t>No</t>
        </is>
      </c>
      <c r="G375" t="inlineStr">
        <is>
          <t>1</t>
        </is>
      </c>
      <c r="H375" t="inlineStr">
        <is>
          <t>No</t>
        </is>
      </c>
      <c r="I375" t="inlineStr">
        <is>
          <t>No</t>
        </is>
      </c>
      <c r="J375" t="inlineStr">
        <is>
          <t>0</t>
        </is>
      </c>
      <c r="L375" t="inlineStr">
        <is>
          <t>New York : Marcel Dekker, c1997.</t>
        </is>
      </c>
      <c r="M375" t="inlineStr">
        <is>
          <t>1997</t>
        </is>
      </c>
      <c r="O375" t="inlineStr">
        <is>
          <t>eng</t>
        </is>
      </c>
      <c r="P375" t="inlineStr">
        <is>
          <t>nyu</t>
        </is>
      </c>
      <c r="Q375" t="inlineStr">
        <is>
          <t>Drugs and the pharmaceutical sciences ; v. 84</t>
        </is>
      </c>
      <c r="R375" t="inlineStr">
        <is>
          <t xml:space="preserve">QU </t>
        </is>
      </c>
      <c r="S375" t="n">
        <v>6</v>
      </c>
      <c r="T375" t="n">
        <v>6</v>
      </c>
      <c r="U375" t="inlineStr">
        <is>
          <t>2010-07-31</t>
        </is>
      </c>
      <c r="V375" t="inlineStr">
        <is>
          <t>2010-07-31</t>
        </is>
      </c>
      <c r="W375" t="inlineStr">
        <is>
          <t>1998-04-22</t>
        </is>
      </c>
      <c r="X375" t="inlineStr">
        <is>
          <t>1998-04-22</t>
        </is>
      </c>
      <c r="Y375" t="n">
        <v>120</v>
      </c>
      <c r="Z375" t="n">
        <v>89</v>
      </c>
      <c r="AA375" t="n">
        <v>119</v>
      </c>
      <c r="AB375" t="n">
        <v>1</v>
      </c>
      <c r="AC375" t="n">
        <v>1</v>
      </c>
      <c r="AD375" t="n">
        <v>2</v>
      </c>
      <c r="AE375" t="n">
        <v>2</v>
      </c>
      <c r="AF375" t="n">
        <v>0</v>
      </c>
      <c r="AG375" t="n">
        <v>0</v>
      </c>
      <c r="AH375" t="n">
        <v>1</v>
      </c>
      <c r="AI375" t="n">
        <v>1</v>
      </c>
      <c r="AJ375" t="n">
        <v>1</v>
      </c>
      <c r="AK375" t="n">
        <v>1</v>
      </c>
      <c r="AL375" t="n">
        <v>0</v>
      </c>
      <c r="AM375" t="n">
        <v>0</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HYPERLINK("https://creighton-primo.hosted.exlibrisgroup.com/primo-explore/search?tab=default_tab&amp;search_scope=EVERYTHING&amp;vid=01CRU&amp;lang=en_US&amp;offset=0&amp;query=any,contains,991001430399702656","Catalog Record")</f>
        <v/>
      </c>
      <c r="AT375">
        <f>HYPERLINK("http://www.worldcat.org/oclc/36917079","WorldCat Record")</f>
        <v/>
      </c>
      <c r="AU375" t="inlineStr">
        <is>
          <t>398248974:eng</t>
        </is>
      </c>
      <c r="AV375" t="inlineStr">
        <is>
          <t>36917079</t>
        </is>
      </c>
      <c r="AW375" t="inlineStr">
        <is>
          <t>991001430399702656</t>
        </is>
      </c>
      <c r="AX375" t="inlineStr">
        <is>
          <t>991001430399702656</t>
        </is>
      </c>
      <c r="AY375" t="inlineStr">
        <is>
          <t>2258013800002656</t>
        </is>
      </c>
      <c r="AZ375" t="inlineStr">
        <is>
          <t>BOOK</t>
        </is>
      </c>
      <c r="BB375" t="inlineStr">
        <is>
          <t>9780824793753</t>
        </is>
      </c>
      <c r="BC375" t="inlineStr">
        <is>
          <t>30001003864883</t>
        </is>
      </c>
      <c r="BD375" t="inlineStr">
        <is>
          <t>893455802</t>
        </is>
      </c>
    </row>
    <row r="376">
      <c r="A376" t="inlineStr">
        <is>
          <t>No</t>
        </is>
      </c>
      <c r="B376" t="inlineStr">
        <is>
          <t>QU 135 P732e 1972</t>
        </is>
      </c>
      <c r="C376" t="inlineStr">
        <is>
          <t>0                      QU 0135000P  732e        1972</t>
        </is>
      </c>
      <c r="D376" t="inlineStr">
        <is>
          <t>Enzyme kinetics / Kent M. Plowman.</t>
        </is>
      </c>
      <c r="F376" t="inlineStr">
        <is>
          <t>No</t>
        </is>
      </c>
      <c r="G376" t="inlineStr">
        <is>
          <t>1</t>
        </is>
      </c>
      <c r="H376" t="inlineStr">
        <is>
          <t>No</t>
        </is>
      </c>
      <c r="I376" t="inlineStr">
        <is>
          <t>No</t>
        </is>
      </c>
      <c r="J376" t="inlineStr">
        <is>
          <t>0</t>
        </is>
      </c>
      <c r="K376" t="inlineStr">
        <is>
          <t>Plowman, Kent M.</t>
        </is>
      </c>
      <c r="L376" t="inlineStr">
        <is>
          <t>New York : McGraw-Hill, 1971, c1972.</t>
        </is>
      </c>
      <c r="M376" t="inlineStr">
        <is>
          <t>1971</t>
        </is>
      </c>
      <c r="O376" t="inlineStr">
        <is>
          <t>eng</t>
        </is>
      </c>
      <c r="P376" t="inlineStr">
        <is>
          <t>nyu</t>
        </is>
      </c>
      <c r="Q376" t="inlineStr">
        <is>
          <t>McGraw-Hill series in advanced chemistry</t>
        </is>
      </c>
      <c r="R376" t="inlineStr">
        <is>
          <t xml:space="preserve">QU </t>
        </is>
      </c>
      <c r="S376" t="n">
        <v>4</v>
      </c>
      <c r="T376" t="n">
        <v>4</v>
      </c>
      <c r="U376" t="inlineStr">
        <is>
          <t>1995-09-22</t>
        </is>
      </c>
      <c r="V376" t="inlineStr">
        <is>
          <t>1995-09-22</t>
        </is>
      </c>
      <c r="W376" t="inlineStr">
        <is>
          <t>1987-12-29</t>
        </is>
      </c>
      <c r="X376" t="inlineStr">
        <is>
          <t>1987-12-29</t>
        </is>
      </c>
      <c r="Y376" t="n">
        <v>527</v>
      </c>
      <c r="Z376" t="n">
        <v>410</v>
      </c>
      <c r="AA376" t="n">
        <v>412</v>
      </c>
      <c r="AB376" t="n">
        <v>3</v>
      </c>
      <c r="AC376" t="n">
        <v>3</v>
      </c>
      <c r="AD376" t="n">
        <v>12</v>
      </c>
      <c r="AE376" t="n">
        <v>12</v>
      </c>
      <c r="AF376" t="n">
        <v>5</v>
      </c>
      <c r="AG376" t="n">
        <v>5</v>
      </c>
      <c r="AH376" t="n">
        <v>4</v>
      </c>
      <c r="AI376" t="n">
        <v>4</v>
      </c>
      <c r="AJ376" t="n">
        <v>6</v>
      </c>
      <c r="AK376" t="n">
        <v>6</v>
      </c>
      <c r="AL376" t="n">
        <v>2</v>
      </c>
      <c r="AM376" t="n">
        <v>2</v>
      </c>
      <c r="AN376" t="n">
        <v>0</v>
      </c>
      <c r="AO376" t="n">
        <v>0</v>
      </c>
      <c r="AP376" t="inlineStr">
        <is>
          <t>No</t>
        </is>
      </c>
      <c r="AQ376" t="inlineStr">
        <is>
          <t>Yes</t>
        </is>
      </c>
      <c r="AR376">
        <f>HYPERLINK("http://catalog.hathitrust.org/Record/007550775","HathiTrust Record")</f>
        <v/>
      </c>
      <c r="AS376">
        <f>HYPERLINK("https://creighton-primo.hosted.exlibrisgroup.com/primo-explore/search?tab=default_tab&amp;search_scope=EVERYTHING&amp;vid=01CRU&amp;lang=en_US&amp;offset=0&amp;query=any,contains,991000905959702656","Catalog Record")</f>
        <v/>
      </c>
      <c r="AT376">
        <f>HYPERLINK("http://www.worldcat.org/oclc/217370","WorldCat Record")</f>
        <v/>
      </c>
      <c r="AU376" t="inlineStr">
        <is>
          <t>1310922:eng</t>
        </is>
      </c>
      <c r="AV376" t="inlineStr">
        <is>
          <t>217370</t>
        </is>
      </c>
      <c r="AW376" t="inlineStr">
        <is>
          <t>991000905959702656</t>
        </is>
      </c>
      <c r="AX376" t="inlineStr">
        <is>
          <t>991000905959702656</t>
        </is>
      </c>
      <c r="AY376" t="inlineStr">
        <is>
          <t>2259448530002656</t>
        </is>
      </c>
      <c r="AZ376" t="inlineStr">
        <is>
          <t>BOOK</t>
        </is>
      </c>
      <c r="BC376" t="inlineStr">
        <is>
          <t>30001000176794</t>
        </is>
      </c>
      <c r="BD376" t="inlineStr">
        <is>
          <t>893455273</t>
        </is>
      </c>
    </row>
    <row r="377">
      <c r="A377" t="inlineStr">
        <is>
          <t>No</t>
        </is>
      </c>
      <c r="B377" t="inlineStr">
        <is>
          <t>QU 135 R891f 1982</t>
        </is>
      </c>
      <c r="C377" t="inlineStr">
        <is>
          <t>0                      QU 0135000R  891f        1982</t>
        </is>
      </c>
      <c r="D377" t="inlineStr">
        <is>
          <t>Fundamentals of enzymology : rate enhancement, specificity, control, and applications / G.P. Royer.</t>
        </is>
      </c>
      <c r="F377" t="inlineStr">
        <is>
          <t>No</t>
        </is>
      </c>
      <c r="G377" t="inlineStr">
        <is>
          <t>1</t>
        </is>
      </c>
      <c r="H377" t="inlineStr">
        <is>
          <t>No</t>
        </is>
      </c>
      <c r="I377" t="inlineStr">
        <is>
          <t>No</t>
        </is>
      </c>
      <c r="J377" t="inlineStr">
        <is>
          <t>0</t>
        </is>
      </c>
      <c r="K377" t="inlineStr">
        <is>
          <t>Royer, G. P.</t>
        </is>
      </c>
      <c r="L377" t="inlineStr">
        <is>
          <t>New York : Wiley, c1982.</t>
        </is>
      </c>
      <c r="M377" t="inlineStr">
        <is>
          <t>1982</t>
        </is>
      </c>
      <c r="O377" t="inlineStr">
        <is>
          <t>eng</t>
        </is>
      </c>
      <c r="P377" t="inlineStr">
        <is>
          <t>nyu</t>
        </is>
      </c>
      <c r="R377" t="inlineStr">
        <is>
          <t xml:space="preserve">QU </t>
        </is>
      </c>
      <c r="S377" t="n">
        <v>7</v>
      </c>
      <c r="T377" t="n">
        <v>7</v>
      </c>
      <c r="U377" t="inlineStr">
        <is>
          <t>1997-06-16</t>
        </is>
      </c>
      <c r="V377" t="inlineStr">
        <is>
          <t>1997-06-16</t>
        </is>
      </c>
      <c r="W377" t="inlineStr">
        <is>
          <t>1988-01-27</t>
        </is>
      </c>
      <c r="X377" t="inlineStr">
        <is>
          <t>1988-01-27</t>
        </is>
      </c>
      <c r="Y377" t="n">
        <v>224</v>
      </c>
      <c r="Z377" t="n">
        <v>167</v>
      </c>
      <c r="AA377" t="n">
        <v>169</v>
      </c>
      <c r="AB377" t="n">
        <v>1</v>
      </c>
      <c r="AC377" t="n">
        <v>1</v>
      </c>
      <c r="AD377" t="n">
        <v>2</v>
      </c>
      <c r="AE377" t="n">
        <v>2</v>
      </c>
      <c r="AF377" t="n">
        <v>2</v>
      </c>
      <c r="AG377" t="n">
        <v>2</v>
      </c>
      <c r="AH377" t="n">
        <v>0</v>
      </c>
      <c r="AI377" t="n">
        <v>0</v>
      </c>
      <c r="AJ377" t="n">
        <v>1</v>
      </c>
      <c r="AK377" t="n">
        <v>1</v>
      </c>
      <c r="AL377" t="n">
        <v>0</v>
      </c>
      <c r="AM377" t="n">
        <v>0</v>
      </c>
      <c r="AN377" t="n">
        <v>0</v>
      </c>
      <c r="AO377" t="n">
        <v>0</v>
      </c>
      <c r="AP377" t="inlineStr">
        <is>
          <t>No</t>
        </is>
      </c>
      <c r="AQ377" t="inlineStr">
        <is>
          <t>Yes</t>
        </is>
      </c>
      <c r="AR377">
        <f>HYPERLINK("http://catalog.hathitrust.org/Record/000107138","HathiTrust Record")</f>
        <v/>
      </c>
      <c r="AS377">
        <f>HYPERLINK("https://creighton-primo.hosted.exlibrisgroup.com/primo-explore/search?tab=default_tab&amp;search_scope=EVERYTHING&amp;vid=01CRU&amp;lang=en_US&amp;offset=0&amp;query=any,contains,991000905839702656","Catalog Record")</f>
        <v/>
      </c>
      <c r="AT377">
        <f>HYPERLINK("http://www.worldcat.org/oclc/7614808","WorldCat Record")</f>
        <v/>
      </c>
      <c r="AU377" t="inlineStr">
        <is>
          <t>3943723180:eng</t>
        </is>
      </c>
      <c r="AV377" t="inlineStr">
        <is>
          <t>7614808</t>
        </is>
      </c>
      <c r="AW377" t="inlineStr">
        <is>
          <t>991000905839702656</t>
        </is>
      </c>
      <c r="AX377" t="inlineStr">
        <is>
          <t>991000905839702656</t>
        </is>
      </c>
      <c r="AY377" t="inlineStr">
        <is>
          <t>2264131870002656</t>
        </is>
      </c>
      <c r="AZ377" t="inlineStr">
        <is>
          <t>BOOK</t>
        </is>
      </c>
      <c r="BB377" t="inlineStr">
        <is>
          <t>9780471046752</t>
        </is>
      </c>
      <c r="BC377" t="inlineStr">
        <is>
          <t>30001000176729</t>
        </is>
      </c>
      <c r="BD377" t="inlineStr">
        <is>
          <t>893727083</t>
        </is>
      </c>
    </row>
    <row r="378">
      <c r="A378" t="inlineStr">
        <is>
          <t>No</t>
        </is>
      </c>
      <c r="B378" t="inlineStr">
        <is>
          <t>QU 135 Z77 1983</t>
        </is>
      </c>
      <c r="C378" t="inlineStr">
        <is>
          <t>0                      QU 0135000Z  77          1983</t>
        </is>
      </c>
      <c r="D378" t="inlineStr">
        <is>
          <t>Zinc enzymes / edited by Thomas G. Spiro.</t>
        </is>
      </c>
      <c r="F378" t="inlineStr">
        <is>
          <t>No</t>
        </is>
      </c>
      <c r="G378" t="inlineStr">
        <is>
          <t>1</t>
        </is>
      </c>
      <c r="H378" t="inlineStr">
        <is>
          <t>No</t>
        </is>
      </c>
      <c r="I378" t="inlineStr">
        <is>
          <t>No</t>
        </is>
      </c>
      <c r="J378" t="inlineStr">
        <is>
          <t>0</t>
        </is>
      </c>
      <c r="L378" t="inlineStr">
        <is>
          <t>New York : Wiley, c1983.</t>
        </is>
      </c>
      <c r="M378" t="inlineStr">
        <is>
          <t>1983</t>
        </is>
      </c>
      <c r="O378" t="inlineStr">
        <is>
          <t>eng</t>
        </is>
      </c>
      <c r="P378" t="inlineStr">
        <is>
          <t>xxu</t>
        </is>
      </c>
      <c r="Q378" t="inlineStr">
        <is>
          <t>Metal ions in biology ; v. 5</t>
        </is>
      </c>
      <c r="R378" t="inlineStr">
        <is>
          <t xml:space="preserve">QU </t>
        </is>
      </c>
      <c r="S378" t="n">
        <v>4</v>
      </c>
      <c r="T378" t="n">
        <v>4</v>
      </c>
      <c r="U378" t="inlineStr">
        <is>
          <t>1996-03-04</t>
        </is>
      </c>
      <c r="V378" t="inlineStr">
        <is>
          <t>1996-03-04</t>
        </is>
      </c>
      <c r="W378" t="inlineStr">
        <is>
          <t>1988-01-25</t>
        </is>
      </c>
      <c r="X378" t="inlineStr">
        <is>
          <t>1988-01-25</t>
        </is>
      </c>
      <c r="Y378" t="n">
        <v>226</v>
      </c>
      <c r="Z378" t="n">
        <v>178</v>
      </c>
      <c r="AA378" t="n">
        <v>189</v>
      </c>
      <c r="AB378" t="n">
        <v>1</v>
      </c>
      <c r="AC378" t="n">
        <v>1</v>
      </c>
      <c r="AD378" t="n">
        <v>8</v>
      </c>
      <c r="AE378" t="n">
        <v>10</v>
      </c>
      <c r="AF378" t="n">
        <v>3</v>
      </c>
      <c r="AG378" t="n">
        <v>4</v>
      </c>
      <c r="AH378" t="n">
        <v>2</v>
      </c>
      <c r="AI378" t="n">
        <v>3</v>
      </c>
      <c r="AJ378" t="n">
        <v>5</v>
      </c>
      <c r="AK378" t="n">
        <v>6</v>
      </c>
      <c r="AL378" t="n">
        <v>0</v>
      </c>
      <c r="AM378" t="n">
        <v>0</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HYPERLINK("https://creighton-primo.hosted.exlibrisgroup.com/primo-explore/search?tab=default_tab&amp;search_scope=EVERYTHING&amp;vid=01CRU&amp;lang=en_US&amp;offset=0&amp;query=any,contains,991000906399702656","Catalog Record")</f>
        <v/>
      </c>
      <c r="AT378">
        <f>HYPERLINK("http://www.worldcat.org/oclc/9392899","WorldCat Record")</f>
        <v/>
      </c>
      <c r="AU378" t="inlineStr">
        <is>
          <t>54566838:eng</t>
        </is>
      </c>
      <c r="AV378" t="inlineStr">
        <is>
          <t>9392899</t>
        </is>
      </c>
      <c r="AW378" t="inlineStr">
        <is>
          <t>991000906399702656</t>
        </is>
      </c>
      <c r="AX378" t="inlineStr">
        <is>
          <t>991000906399702656</t>
        </is>
      </c>
      <c r="AY378" t="inlineStr">
        <is>
          <t>2263551330002656</t>
        </is>
      </c>
      <c r="AZ378" t="inlineStr">
        <is>
          <t>BOOK</t>
        </is>
      </c>
      <c r="BB378" t="inlineStr">
        <is>
          <t>9780471890812</t>
        </is>
      </c>
      <c r="BC378" t="inlineStr">
        <is>
          <t>30001000177032</t>
        </is>
      </c>
      <c r="BD378" t="inlineStr">
        <is>
          <t>893467718</t>
        </is>
      </c>
    </row>
    <row r="379">
      <c r="A379" t="inlineStr">
        <is>
          <t>No</t>
        </is>
      </c>
      <c r="B379" t="inlineStr">
        <is>
          <t>QU 136 B6145 1994</t>
        </is>
      </c>
      <c r="C379" t="inlineStr">
        <is>
          <t>0                      QU 0136000B  6145        1994</t>
        </is>
      </c>
      <c r="D379" t="inlineStr">
        <is>
          <t>Biological functions of proteases and inhibitors / edited by Nobuhiko Katunuma ... [et al.].</t>
        </is>
      </c>
      <c r="F379" t="inlineStr">
        <is>
          <t>No</t>
        </is>
      </c>
      <c r="G379" t="inlineStr">
        <is>
          <t>1</t>
        </is>
      </c>
      <c r="H379" t="inlineStr">
        <is>
          <t>No</t>
        </is>
      </c>
      <c r="I379" t="inlineStr">
        <is>
          <t>No</t>
        </is>
      </c>
      <c r="J379" t="inlineStr">
        <is>
          <t>0</t>
        </is>
      </c>
      <c r="L379" t="inlineStr">
        <is>
          <t>Tokyo : Japan Scientific Societies Press ; Basel ; New York : Karger, c1994.</t>
        </is>
      </c>
      <c r="M379" t="inlineStr">
        <is>
          <t>1994</t>
        </is>
      </c>
      <c r="O379" t="inlineStr">
        <is>
          <t>eng</t>
        </is>
      </c>
      <c r="P379" t="inlineStr">
        <is>
          <t xml:space="preserve">ja </t>
        </is>
      </c>
      <c r="R379" t="inlineStr">
        <is>
          <t xml:space="preserve">QU </t>
        </is>
      </c>
      <c r="S379" t="n">
        <v>6</v>
      </c>
      <c r="T379" t="n">
        <v>6</v>
      </c>
      <c r="U379" t="inlineStr">
        <is>
          <t>1995-04-18</t>
        </is>
      </c>
      <c r="V379" t="inlineStr">
        <is>
          <t>1995-04-18</t>
        </is>
      </c>
      <c r="W379" t="inlineStr">
        <is>
          <t>1994-09-13</t>
        </is>
      </c>
      <c r="X379" t="inlineStr">
        <is>
          <t>1994-09-13</t>
        </is>
      </c>
      <c r="Y379" t="n">
        <v>93</v>
      </c>
      <c r="Z379" t="n">
        <v>60</v>
      </c>
      <c r="AA379" t="n">
        <v>72</v>
      </c>
      <c r="AB379" t="n">
        <v>1</v>
      </c>
      <c r="AC379" t="n">
        <v>1</v>
      </c>
      <c r="AD379" t="n">
        <v>2</v>
      </c>
      <c r="AE379" t="n">
        <v>2</v>
      </c>
      <c r="AF379" t="n">
        <v>0</v>
      </c>
      <c r="AG379" t="n">
        <v>0</v>
      </c>
      <c r="AH379" t="n">
        <v>1</v>
      </c>
      <c r="AI379" t="n">
        <v>1</v>
      </c>
      <c r="AJ379" t="n">
        <v>1</v>
      </c>
      <c r="AK379" t="n">
        <v>1</v>
      </c>
      <c r="AL379" t="n">
        <v>0</v>
      </c>
      <c r="AM379" t="n">
        <v>0</v>
      </c>
      <c r="AN379" t="n">
        <v>0</v>
      </c>
      <c r="AO379" t="n">
        <v>0</v>
      </c>
      <c r="AP379" t="inlineStr">
        <is>
          <t>No</t>
        </is>
      </c>
      <c r="AQ379" t="inlineStr">
        <is>
          <t>Yes</t>
        </is>
      </c>
      <c r="AR379">
        <f>HYPERLINK("http://catalog.hathitrust.org/Record/002997386","HathiTrust Record")</f>
        <v/>
      </c>
      <c r="AS379">
        <f>HYPERLINK("https://creighton-primo.hosted.exlibrisgroup.com/primo-explore/search?tab=default_tab&amp;search_scope=EVERYTHING&amp;vid=01CRU&amp;lang=en_US&amp;offset=0&amp;query=any,contains,991000678839702656","Catalog Record")</f>
        <v/>
      </c>
      <c r="AT379">
        <f>HYPERLINK("http://www.worldcat.org/oclc/30329863","WorldCat Record")</f>
        <v/>
      </c>
      <c r="AU379" t="inlineStr">
        <is>
          <t>32474927:eng</t>
        </is>
      </c>
      <c r="AV379" t="inlineStr">
        <is>
          <t>30329863</t>
        </is>
      </c>
      <c r="AW379" t="inlineStr">
        <is>
          <t>991000678839702656</t>
        </is>
      </c>
      <c r="AX379" t="inlineStr">
        <is>
          <t>991000678839702656</t>
        </is>
      </c>
      <c r="AY379" t="inlineStr">
        <is>
          <t>2264651680002656</t>
        </is>
      </c>
      <c r="AZ379" t="inlineStr">
        <is>
          <t>BOOK</t>
        </is>
      </c>
      <c r="BB379" t="inlineStr">
        <is>
          <t>9783805559546</t>
        </is>
      </c>
      <c r="BC379" t="inlineStr">
        <is>
          <t>30001002696997</t>
        </is>
      </c>
      <c r="BD379" t="inlineStr">
        <is>
          <t>893551287</t>
        </is>
      </c>
    </row>
    <row r="380">
      <c r="A380" t="inlineStr">
        <is>
          <t>No</t>
        </is>
      </c>
      <c r="B380" t="inlineStr">
        <is>
          <t>QU 136 C9956 1990</t>
        </is>
      </c>
      <c r="C380" t="inlineStr">
        <is>
          <t>0                      QU 0136000C  9956        1990</t>
        </is>
      </c>
      <c r="D380" t="inlineStr">
        <is>
          <t>Cyclic nucleotide phosphodiesterases : structure, regulation, and drug action / edited by Joe Beavo and Miles D. Houslay.</t>
        </is>
      </c>
      <c r="F380" t="inlineStr">
        <is>
          <t>No</t>
        </is>
      </c>
      <c r="G380" t="inlineStr">
        <is>
          <t>1</t>
        </is>
      </c>
      <c r="H380" t="inlineStr">
        <is>
          <t>No</t>
        </is>
      </c>
      <c r="I380" t="inlineStr">
        <is>
          <t>No</t>
        </is>
      </c>
      <c r="J380" t="inlineStr">
        <is>
          <t>0</t>
        </is>
      </c>
      <c r="L380" t="inlineStr">
        <is>
          <t>Chichester ; New York : Wiley, c1990.</t>
        </is>
      </c>
      <c r="M380" t="inlineStr">
        <is>
          <t>1990</t>
        </is>
      </c>
      <c r="O380" t="inlineStr">
        <is>
          <t>eng</t>
        </is>
      </c>
      <c r="P380" t="inlineStr">
        <is>
          <t>enk</t>
        </is>
      </c>
      <c r="Q380" t="inlineStr">
        <is>
          <t>Wiley series on molecular pharmacology of cell regulation ; v. 2</t>
        </is>
      </c>
      <c r="R380" t="inlineStr">
        <is>
          <t xml:space="preserve">QU </t>
        </is>
      </c>
      <c r="S380" t="n">
        <v>3</v>
      </c>
      <c r="T380" t="n">
        <v>3</v>
      </c>
      <c r="U380" t="inlineStr">
        <is>
          <t>1996-02-17</t>
        </is>
      </c>
      <c r="V380" t="inlineStr">
        <is>
          <t>1996-02-17</t>
        </is>
      </c>
      <c r="W380" t="inlineStr">
        <is>
          <t>1991-09-20</t>
        </is>
      </c>
      <c r="X380" t="inlineStr">
        <is>
          <t>1991-09-20</t>
        </is>
      </c>
      <c r="Y380" t="n">
        <v>128</v>
      </c>
      <c r="Z380" t="n">
        <v>81</v>
      </c>
      <c r="AA380" t="n">
        <v>83</v>
      </c>
      <c r="AB380" t="n">
        <v>1</v>
      </c>
      <c r="AC380" t="n">
        <v>1</v>
      </c>
      <c r="AD380" t="n">
        <v>5</v>
      </c>
      <c r="AE380" t="n">
        <v>5</v>
      </c>
      <c r="AF380" t="n">
        <v>1</v>
      </c>
      <c r="AG380" t="n">
        <v>1</v>
      </c>
      <c r="AH380" t="n">
        <v>4</v>
      </c>
      <c r="AI380" t="n">
        <v>4</v>
      </c>
      <c r="AJ380" t="n">
        <v>2</v>
      </c>
      <c r="AK380" t="n">
        <v>2</v>
      </c>
      <c r="AL380" t="n">
        <v>0</v>
      </c>
      <c r="AM380" t="n">
        <v>0</v>
      </c>
      <c r="AN380" t="n">
        <v>0</v>
      </c>
      <c r="AO380" t="n">
        <v>0</v>
      </c>
      <c r="AP380" t="inlineStr">
        <is>
          <t>No</t>
        </is>
      </c>
      <c r="AQ380" t="inlineStr">
        <is>
          <t>Yes</t>
        </is>
      </c>
      <c r="AR380">
        <f>HYPERLINK("http://catalog.hathitrust.org/Record/002238062","HathiTrust Record")</f>
        <v/>
      </c>
      <c r="AS380">
        <f>HYPERLINK("https://creighton-primo.hosted.exlibrisgroup.com/primo-explore/search?tab=default_tab&amp;search_scope=EVERYTHING&amp;vid=01CRU&amp;lang=en_US&amp;offset=0&amp;query=any,contains,991001017099702656","Catalog Record")</f>
        <v/>
      </c>
      <c r="AT380">
        <f>HYPERLINK("http://www.worldcat.org/oclc/21038983","WorldCat Record")</f>
        <v/>
      </c>
      <c r="AU380" t="inlineStr">
        <is>
          <t>808202508:eng</t>
        </is>
      </c>
      <c r="AV380" t="inlineStr">
        <is>
          <t>21038983</t>
        </is>
      </c>
      <c r="AW380" t="inlineStr">
        <is>
          <t>991001017099702656</t>
        </is>
      </c>
      <c r="AX380" t="inlineStr">
        <is>
          <t>991001017099702656</t>
        </is>
      </c>
      <c r="AY380" t="inlineStr">
        <is>
          <t>2256572720002656</t>
        </is>
      </c>
      <c r="AZ380" t="inlineStr">
        <is>
          <t>BOOK</t>
        </is>
      </c>
      <c r="BB380" t="inlineStr">
        <is>
          <t>9780471927075</t>
        </is>
      </c>
      <c r="BC380" t="inlineStr">
        <is>
          <t>30001002240895</t>
        </is>
      </c>
      <c r="BD380" t="inlineStr">
        <is>
          <t>893540941</t>
        </is>
      </c>
    </row>
    <row r="381">
      <c r="A381" t="inlineStr">
        <is>
          <t>No</t>
        </is>
      </c>
      <c r="B381" t="inlineStr">
        <is>
          <t>QU 136 E79 1994</t>
        </is>
      </c>
      <c r="C381" t="inlineStr">
        <is>
          <t>0                      QU 0136000E  79          1994</t>
        </is>
      </c>
      <c r="D381" t="inlineStr">
        <is>
          <t>Esterases, lipases, and phospholipases : from structure to clinical significance / edited by M.I. Mackness and M. Clerc.</t>
        </is>
      </c>
      <c r="F381" t="inlineStr">
        <is>
          <t>No</t>
        </is>
      </c>
      <c r="G381" t="inlineStr">
        <is>
          <t>1</t>
        </is>
      </c>
      <c r="H381" t="inlineStr">
        <is>
          <t>No</t>
        </is>
      </c>
      <c r="I381" t="inlineStr">
        <is>
          <t>No</t>
        </is>
      </c>
      <c r="J381" t="inlineStr">
        <is>
          <t>0</t>
        </is>
      </c>
      <c r="L381" t="inlineStr">
        <is>
          <t>New York : Plenum, c1994.</t>
        </is>
      </c>
      <c r="M381" t="inlineStr">
        <is>
          <t>1994</t>
        </is>
      </c>
      <c r="O381" t="inlineStr">
        <is>
          <t>eng</t>
        </is>
      </c>
      <c r="P381" t="inlineStr">
        <is>
          <t>nyu</t>
        </is>
      </c>
      <c r="Q381" t="inlineStr">
        <is>
          <t>NATO ASI series. Series A, Life sciences ; v. 266</t>
        </is>
      </c>
      <c r="R381" t="inlineStr">
        <is>
          <t xml:space="preserve">QU </t>
        </is>
      </c>
      <c r="S381" t="n">
        <v>2</v>
      </c>
      <c r="T381" t="n">
        <v>2</v>
      </c>
      <c r="U381" t="inlineStr">
        <is>
          <t>1999-10-05</t>
        </is>
      </c>
      <c r="V381" t="inlineStr">
        <is>
          <t>1999-10-05</t>
        </is>
      </c>
      <c r="W381" t="inlineStr">
        <is>
          <t>1996-01-18</t>
        </is>
      </c>
      <c r="X381" t="inlineStr">
        <is>
          <t>1996-01-18</t>
        </is>
      </c>
      <c r="Y381" t="n">
        <v>103</v>
      </c>
      <c r="Z381" t="n">
        <v>80</v>
      </c>
      <c r="AA381" t="n">
        <v>106</v>
      </c>
      <c r="AB381" t="n">
        <v>1</v>
      </c>
      <c r="AC381" t="n">
        <v>1</v>
      </c>
      <c r="AD381" t="n">
        <v>2</v>
      </c>
      <c r="AE381" t="n">
        <v>3</v>
      </c>
      <c r="AF381" t="n">
        <v>0</v>
      </c>
      <c r="AG381" t="n">
        <v>1</v>
      </c>
      <c r="AH381" t="n">
        <v>0</v>
      </c>
      <c r="AI381" t="n">
        <v>0</v>
      </c>
      <c r="AJ381" t="n">
        <v>2</v>
      </c>
      <c r="AK381" t="n">
        <v>3</v>
      </c>
      <c r="AL381" t="n">
        <v>0</v>
      </c>
      <c r="AM381" t="n">
        <v>0</v>
      </c>
      <c r="AN381" t="n">
        <v>0</v>
      </c>
      <c r="AO381" t="n">
        <v>0</v>
      </c>
      <c r="AP381" t="inlineStr">
        <is>
          <t>No</t>
        </is>
      </c>
      <c r="AQ381" t="inlineStr">
        <is>
          <t>Yes</t>
        </is>
      </c>
      <c r="AR381">
        <f>HYPERLINK("http://catalog.hathitrust.org/Record/002971338","HathiTrust Record")</f>
        <v/>
      </c>
      <c r="AS381">
        <f>HYPERLINK("https://creighton-primo.hosted.exlibrisgroup.com/primo-explore/search?tab=default_tab&amp;search_scope=EVERYTHING&amp;vid=01CRU&amp;lang=en_US&amp;offset=0&amp;query=any,contains,991001502619702656","Catalog Record")</f>
        <v/>
      </c>
      <c r="AT381">
        <f>HYPERLINK("http://www.worldcat.org/oclc/31172807","WorldCat Record")</f>
        <v/>
      </c>
      <c r="AU381" t="inlineStr">
        <is>
          <t>809646546:eng</t>
        </is>
      </c>
      <c r="AV381" t="inlineStr">
        <is>
          <t>31172807</t>
        </is>
      </c>
      <c r="AW381" t="inlineStr">
        <is>
          <t>991001502619702656</t>
        </is>
      </c>
      <c r="AX381" t="inlineStr">
        <is>
          <t>991001502619702656</t>
        </is>
      </c>
      <c r="AY381" t="inlineStr">
        <is>
          <t>2258068740002656</t>
        </is>
      </c>
      <c r="AZ381" t="inlineStr">
        <is>
          <t>BOOK</t>
        </is>
      </c>
      <c r="BB381" t="inlineStr">
        <is>
          <t>9780306448027</t>
        </is>
      </c>
      <c r="BC381" t="inlineStr">
        <is>
          <t>30001003262963</t>
        </is>
      </c>
      <c r="BD381" t="inlineStr">
        <is>
          <t>893541459</t>
        </is>
      </c>
    </row>
    <row r="382">
      <c r="A382" t="inlineStr">
        <is>
          <t>No</t>
        </is>
      </c>
      <c r="B382" t="inlineStr">
        <is>
          <t>QU 136 G394s 1996</t>
        </is>
      </c>
      <c r="C382" t="inlineStr">
        <is>
          <t>0                      QU 0136000G  394s        1996</t>
        </is>
      </c>
      <c r="D382" t="inlineStr">
        <is>
          <t>Serpins : structure, function and biology / Peter G.W. Gettins, Philip A. Patston, Steven T. Olson.</t>
        </is>
      </c>
      <c r="F382" t="inlineStr">
        <is>
          <t>No</t>
        </is>
      </c>
      <c r="G382" t="inlineStr">
        <is>
          <t>1</t>
        </is>
      </c>
      <c r="H382" t="inlineStr">
        <is>
          <t>No</t>
        </is>
      </c>
      <c r="I382" t="inlineStr">
        <is>
          <t>No</t>
        </is>
      </c>
      <c r="J382" t="inlineStr">
        <is>
          <t>0</t>
        </is>
      </c>
      <c r="K382" t="inlineStr">
        <is>
          <t>Gettins, Peter G. W., 1953-</t>
        </is>
      </c>
      <c r="L382" t="inlineStr">
        <is>
          <t>Austin : R.G. Landes ; New York : Chapman &amp; Hall [Distributor], c1996.</t>
        </is>
      </c>
      <c r="M382" t="inlineStr">
        <is>
          <t>1996</t>
        </is>
      </c>
      <c r="O382" t="inlineStr">
        <is>
          <t>eng</t>
        </is>
      </c>
      <c r="P382" t="inlineStr">
        <is>
          <t>txu</t>
        </is>
      </c>
      <c r="Q382" t="inlineStr">
        <is>
          <t>Molecular biology intelligence unit</t>
        </is>
      </c>
      <c r="R382" t="inlineStr">
        <is>
          <t xml:space="preserve">QU </t>
        </is>
      </c>
      <c r="S382" t="n">
        <v>3</v>
      </c>
      <c r="T382" t="n">
        <v>3</v>
      </c>
      <c r="U382" t="inlineStr">
        <is>
          <t>1997-06-11</t>
        </is>
      </c>
      <c r="V382" t="inlineStr">
        <is>
          <t>1997-06-11</t>
        </is>
      </c>
      <c r="W382" t="inlineStr">
        <is>
          <t>1997-05-28</t>
        </is>
      </c>
      <c r="X382" t="inlineStr">
        <is>
          <t>1997-05-28</t>
        </is>
      </c>
      <c r="Y382" t="n">
        <v>97</v>
      </c>
      <c r="Z382" t="n">
        <v>75</v>
      </c>
      <c r="AA382" t="n">
        <v>81</v>
      </c>
      <c r="AB382" t="n">
        <v>1</v>
      </c>
      <c r="AC382" t="n">
        <v>1</v>
      </c>
      <c r="AD382" t="n">
        <v>1</v>
      </c>
      <c r="AE382" t="n">
        <v>1</v>
      </c>
      <c r="AF382" t="n">
        <v>0</v>
      </c>
      <c r="AG382" t="n">
        <v>0</v>
      </c>
      <c r="AH382" t="n">
        <v>1</v>
      </c>
      <c r="AI382" t="n">
        <v>1</v>
      </c>
      <c r="AJ382" t="n">
        <v>1</v>
      </c>
      <c r="AK382" t="n">
        <v>1</v>
      </c>
      <c r="AL382" t="n">
        <v>0</v>
      </c>
      <c r="AM382" t="n">
        <v>0</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HYPERLINK("https://creighton-primo.hosted.exlibrisgroup.com/primo-explore/search?tab=default_tab&amp;search_scope=EVERYTHING&amp;vid=01CRU&amp;lang=en_US&amp;offset=0&amp;query=any,contains,991001231799702656","Catalog Record")</f>
        <v/>
      </c>
      <c r="AT382">
        <f>HYPERLINK("http://www.worldcat.org/oclc/33838191","WorldCat Record")</f>
        <v/>
      </c>
      <c r="AU382" t="inlineStr">
        <is>
          <t>898297233:eng</t>
        </is>
      </c>
      <c r="AV382" t="inlineStr">
        <is>
          <t>33838191</t>
        </is>
      </c>
      <c r="AW382" t="inlineStr">
        <is>
          <t>991001231799702656</t>
        </is>
      </c>
      <c r="AX382" t="inlineStr">
        <is>
          <t>991001231799702656</t>
        </is>
      </c>
      <c r="AY382" t="inlineStr">
        <is>
          <t>22101749400002656</t>
        </is>
      </c>
      <c r="AZ382" t="inlineStr">
        <is>
          <t>BOOK</t>
        </is>
      </c>
      <c r="BB382" t="inlineStr">
        <is>
          <t>9780412103513</t>
        </is>
      </c>
      <c r="BC382" t="inlineStr">
        <is>
          <t>30001003674480</t>
        </is>
      </c>
      <c r="BD382" t="inlineStr">
        <is>
          <t>893643349</t>
        </is>
      </c>
    </row>
    <row r="383">
      <c r="A383" t="inlineStr">
        <is>
          <t>No</t>
        </is>
      </c>
      <c r="B383" t="inlineStr">
        <is>
          <t>QU136 H236 2004 V.1</t>
        </is>
      </c>
      <c r="C383" t="inlineStr">
        <is>
          <t>0                      QU 0136000H  236         2004                                        V.1</t>
        </is>
      </c>
      <c r="D383" t="inlineStr">
        <is>
          <t>Handbook of proteolytic enzymes / edited by Alan J. Barrett, Neil D. Rawlings, J. Fred Woessner.</t>
        </is>
      </c>
      <c r="E383" t="inlineStr">
        <is>
          <t>V.1</t>
        </is>
      </c>
      <c r="F383" t="inlineStr">
        <is>
          <t>Yes</t>
        </is>
      </c>
      <c r="G383" t="inlineStr">
        <is>
          <t>1</t>
        </is>
      </c>
      <c r="H383" t="inlineStr">
        <is>
          <t>No</t>
        </is>
      </c>
      <c r="I383" t="inlineStr">
        <is>
          <t>No</t>
        </is>
      </c>
      <c r="J383" t="inlineStr">
        <is>
          <t>0</t>
        </is>
      </c>
      <c r="L383" t="inlineStr">
        <is>
          <t>Amsterdam ; San Diego : Elsevier Academic Press, c2004.</t>
        </is>
      </c>
      <c r="M383" t="inlineStr">
        <is>
          <t>2004</t>
        </is>
      </c>
      <c r="N383" t="inlineStr">
        <is>
          <t>2nd ed.</t>
        </is>
      </c>
      <c r="O383" t="inlineStr">
        <is>
          <t>eng</t>
        </is>
      </c>
      <c r="P383" t="inlineStr">
        <is>
          <t xml:space="preserve">ne </t>
        </is>
      </c>
      <c r="R383" t="inlineStr">
        <is>
          <t xml:space="preserve">QU </t>
        </is>
      </c>
      <c r="S383" t="n">
        <v>2</v>
      </c>
      <c r="T383" t="n">
        <v>4</v>
      </c>
      <c r="U383" t="inlineStr">
        <is>
          <t>2008-06-06</t>
        </is>
      </c>
      <c r="V383" t="inlineStr">
        <is>
          <t>2008-06-06</t>
        </is>
      </c>
      <c r="W383" t="inlineStr">
        <is>
          <t>2006-01-25</t>
        </is>
      </c>
      <c r="X383" t="inlineStr">
        <is>
          <t>2006-01-25</t>
        </is>
      </c>
      <c r="Y383" t="n">
        <v>89</v>
      </c>
      <c r="Z383" t="n">
        <v>56</v>
      </c>
      <c r="AA383" t="n">
        <v>142</v>
      </c>
      <c r="AB383" t="n">
        <v>1</v>
      </c>
      <c r="AC383" t="n">
        <v>1</v>
      </c>
      <c r="AD383" t="n">
        <v>2</v>
      </c>
      <c r="AE383" t="n">
        <v>5</v>
      </c>
      <c r="AF383" t="n">
        <v>0</v>
      </c>
      <c r="AG383" t="n">
        <v>1</v>
      </c>
      <c r="AH383" t="n">
        <v>1</v>
      </c>
      <c r="AI383" t="n">
        <v>3</v>
      </c>
      <c r="AJ383" t="n">
        <v>2</v>
      </c>
      <c r="AK383" t="n">
        <v>3</v>
      </c>
      <c r="AL383" t="n">
        <v>0</v>
      </c>
      <c r="AM383" t="n">
        <v>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HYPERLINK("https://creighton-primo.hosted.exlibrisgroup.com/primo-explore/search?tab=default_tab&amp;search_scope=EVERYTHING&amp;vid=01CRU&amp;lang=en_US&amp;offset=0&amp;query=any,contains,991000458089702656","Catalog Record")</f>
        <v/>
      </c>
      <c r="AT383">
        <f>HYPERLINK("http://www.worldcat.org/oclc/56197774","WorldCat Record")</f>
        <v/>
      </c>
      <c r="AU383" t="inlineStr">
        <is>
          <t>3372302832:eng</t>
        </is>
      </c>
      <c r="AV383" t="inlineStr">
        <is>
          <t>56197774</t>
        </is>
      </c>
      <c r="AW383" t="inlineStr">
        <is>
          <t>991000458089702656</t>
        </is>
      </c>
      <c r="AX383" t="inlineStr">
        <is>
          <t>991000458089702656</t>
        </is>
      </c>
      <c r="AY383" t="inlineStr">
        <is>
          <t>2271162890002656</t>
        </is>
      </c>
      <c r="AZ383" t="inlineStr">
        <is>
          <t>BOOK</t>
        </is>
      </c>
      <c r="BB383" t="inlineStr">
        <is>
          <t>9780120796106</t>
        </is>
      </c>
      <c r="BC383" t="inlineStr">
        <is>
          <t>30001004912921</t>
        </is>
      </c>
      <c r="BD383" t="inlineStr">
        <is>
          <t>893452145</t>
        </is>
      </c>
    </row>
    <row r="384">
      <c r="A384" t="inlineStr">
        <is>
          <t>No</t>
        </is>
      </c>
      <c r="B384" t="inlineStr">
        <is>
          <t>QU136 H236 2004 V.1</t>
        </is>
      </c>
      <c r="C384" t="inlineStr">
        <is>
          <t>0                      QU 0136000H  236         2004                                        V.1</t>
        </is>
      </c>
      <c r="D384" t="inlineStr">
        <is>
          <t>Handbook of proteolytic enzymes / edited by Alan J. Barrett, Neil D. Rawlings, J. Fred Woessner.</t>
        </is>
      </c>
      <c r="E384" t="inlineStr">
        <is>
          <t>V.2</t>
        </is>
      </c>
      <c r="F384" t="inlineStr">
        <is>
          <t>Yes</t>
        </is>
      </c>
      <c r="G384" t="inlineStr">
        <is>
          <t>1</t>
        </is>
      </c>
      <c r="H384" t="inlineStr">
        <is>
          <t>No</t>
        </is>
      </c>
      <c r="I384" t="inlineStr">
        <is>
          <t>No</t>
        </is>
      </c>
      <c r="J384" t="inlineStr">
        <is>
          <t>0</t>
        </is>
      </c>
      <c r="L384" t="inlineStr">
        <is>
          <t>Amsterdam ; San Diego : Elsevier Academic Press, c2004.</t>
        </is>
      </c>
      <c r="M384" t="inlineStr">
        <is>
          <t>2004</t>
        </is>
      </c>
      <c r="N384" t="inlineStr">
        <is>
          <t>2nd ed.</t>
        </is>
      </c>
      <c r="O384" t="inlineStr">
        <is>
          <t>eng</t>
        </is>
      </c>
      <c r="P384" t="inlineStr">
        <is>
          <t xml:space="preserve">ne </t>
        </is>
      </c>
      <c r="R384" t="inlineStr">
        <is>
          <t xml:space="preserve">QU </t>
        </is>
      </c>
      <c r="S384" t="n">
        <v>2</v>
      </c>
      <c r="T384" t="n">
        <v>4</v>
      </c>
      <c r="U384" t="inlineStr">
        <is>
          <t>2008-06-06</t>
        </is>
      </c>
      <c r="V384" t="inlineStr">
        <is>
          <t>2008-06-06</t>
        </is>
      </c>
      <c r="W384" t="inlineStr">
        <is>
          <t>2006-01-25</t>
        </is>
      </c>
      <c r="X384" t="inlineStr">
        <is>
          <t>2006-01-25</t>
        </is>
      </c>
      <c r="Y384" t="n">
        <v>89</v>
      </c>
      <c r="Z384" t="n">
        <v>56</v>
      </c>
      <c r="AA384" t="n">
        <v>142</v>
      </c>
      <c r="AB384" t="n">
        <v>1</v>
      </c>
      <c r="AC384" t="n">
        <v>1</v>
      </c>
      <c r="AD384" t="n">
        <v>2</v>
      </c>
      <c r="AE384" t="n">
        <v>5</v>
      </c>
      <c r="AF384" t="n">
        <v>0</v>
      </c>
      <c r="AG384" t="n">
        <v>1</v>
      </c>
      <c r="AH384" t="n">
        <v>1</v>
      </c>
      <c r="AI384" t="n">
        <v>3</v>
      </c>
      <c r="AJ384" t="n">
        <v>2</v>
      </c>
      <c r="AK384" t="n">
        <v>3</v>
      </c>
      <c r="AL384" t="n">
        <v>0</v>
      </c>
      <c r="AM384" t="n">
        <v>0</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HYPERLINK("https://creighton-primo.hosted.exlibrisgroup.com/primo-explore/search?tab=default_tab&amp;search_scope=EVERYTHING&amp;vid=01CRU&amp;lang=en_US&amp;offset=0&amp;query=any,contains,991000458089702656","Catalog Record")</f>
        <v/>
      </c>
      <c r="AT384">
        <f>HYPERLINK("http://www.worldcat.org/oclc/56197774","WorldCat Record")</f>
        <v/>
      </c>
      <c r="AU384" t="inlineStr">
        <is>
          <t>3372302832:eng</t>
        </is>
      </c>
      <c r="AV384" t="inlineStr">
        <is>
          <t>56197774</t>
        </is>
      </c>
      <c r="AW384" t="inlineStr">
        <is>
          <t>991000458089702656</t>
        </is>
      </c>
      <c r="AX384" t="inlineStr">
        <is>
          <t>991000458089702656</t>
        </is>
      </c>
      <c r="AY384" t="inlineStr">
        <is>
          <t>2271162890002656</t>
        </is>
      </c>
      <c r="AZ384" t="inlineStr">
        <is>
          <t>BOOK</t>
        </is>
      </c>
      <c r="BB384" t="inlineStr">
        <is>
          <t>9780120796106</t>
        </is>
      </c>
      <c r="BC384" t="inlineStr">
        <is>
          <t>30001004912913</t>
        </is>
      </c>
      <c r="BD384" t="inlineStr">
        <is>
          <t>893461510</t>
        </is>
      </c>
    </row>
    <row r="385">
      <c r="A385" t="inlineStr">
        <is>
          <t>No</t>
        </is>
      </c>
      <c r="B385" t="inlineStr">
        <is>
          <t>QU 136 H811n 1994</t>
        </is>
      </c>
      <c r="C385" t="inlineStr">
        <is>
          <t>0                      QU 0136000H  811n        1994</t>
        </is>
      </c>
      <c r="D385" t="inlineStr">
        <is>
          <t>The Na,K-ATPase : structure-function relationship / Jean-Daniel Horisberger.</t>
        </is>
      </c>
      <c r="F385" t="inlineStr">
        <is>
          <t>No</t>
        </is>
      </c>
      <c r="G385" t="inlineStr">
        <is>
          <t>1</t>
        </is>
      </c>
      <c r="H385" t="inlineStr">
        <is>
          <t>No</t>
        </is>
      </c>
      <c r="I385" t="inlineStr">
        <is>
          <t>No</t>
        </is>
      </c>
      <c r="J385" t="inlineStr">
        <is>
          <t>0</t>
        </is>
      </c>
      <c r="K385" t="inlineStr">
        <is>
          <t>Horisberger, Jean-Daniel.</t>
        </is>
      </c>
      <c r="L385" t="inlineStr">
        <is>
          <t>Austin : R.G. Landes : Boca Raton, FL : CRC Press [distributor], c1994.</t>
        </is>
      </c>
      <c r="M385" t="inlineStr">
        <is>
          <t>1994</t>
        </is>
      </c>
      <c r="O385" t="inlineStr">
        <is>
          <t>eng</t>
        </is>
      </c>
      <c r="P385" t="inlineStr">
        <is>
          <t>txu</t>
        </is>
      </c>
      <c r="Q385" t="inlineStr">
        <is>
          <t>Molecular biology intelligence unit</t>
        </is>
      </c>
      <c r="R385" t="inlineStr">
        <is>
          <t xml:space="preserve">QU </t>
        </is>
      </c>
      <c r="S385" t="n">
        <v>7</v>
      </c>
      <c r="T385" t="n">
        <v>7</v>
      </c>
      <c r="U385" t="inlineStr">
        <is>
          <t>1999-05-14</t>
        </is>
      </c>
      <c r="V385" t="inlineStr">
        <is>
          <t>1999-05-14</t>
        </is>
      </c>
      <c r="W385" t="inlineStr">
        <is>
          <t>1995-01-18</t>
        </is>
      </c>
      <c r="X385" t="inlineStr">
        <is>
          <t>1995-01-18</t>
        </is>
      </c>
      <c r="Y385" t="n">
        <v>92</v>
      </c>
      <c r="Z385" t="n">
        <v>73</v>
      </c>
      <c r="AA385" t="n">
        <v>79</v>
      </c>
      <c r="AB385" t="n">
        <v>1</v>
      </c>
      <c r="AC385" t="n">
        <v>1</v>
      </c>
      <c r="AD385" t="n">
        <v>2</v>
      </c>
      <c r="AE385" t="n">
        <v>2</v>
      </c>
      <c r="AF385" t="n">
        <v>0</v>
      </c>
      <c r="AG385" t="n">
        <v>0</v>
      </c>
      <c r="AH385" t="n">
        <v>2</v>
      </c>
      <c r="AI385" t="n">
        <v>2</v>
      </c>
      <c r="AJ385" t="n">
        <v>1</v>
      </c>
      <c r="AK385" t="n">
        <v>1</v>
      </c>
      <c r="AL385" t="n">
        <v>0</v>
      </c>
      <c r="AM385" t="n">
        <v>0</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HYPERLINK("https://creighton-primo.hosted.exlibrisgroup.com/primo-explore/search?tab=default_tab&amp;search_scope=EVERYTHING&amp;vid=01CRU&amp;lang=en_US&amp;offset=0&amp;query=any,contains,991001335899702656","Catalog Record")</f>
        <v/>
      </c>
      <c r="AT385">
        <f>HYPERLINK("http://www.worldcat.org/oclc/29797300","WorldCat Record")</f>
        <v/>
      </c>
      <c r="AU385" t="inlineStr">
        <is>
          <t>981918617:eng</t>
        </is>
      </c>
      <c r="AV385" t="inlineStr">
        <is>
          <t>29797300</t>
        </is>
      </c>
      <c r="AW385" t="inlineStr">
        <is>
          <t>991001335899702656</t>
        </is>
      </c>
      <c r="AX385" t="inlineStr">
        <is>
          <t>991001335899702656</t>
        </is>
      </c>
      <c r="AY385" t="inlineStr">
        <is>
          <t>2259244150002656</t>
        </is>
      </c>
      <c r="AZ385" t="inlineStr">
        <is>
          <t>BOOK</t>
        </is>
      </c>
      <c r="BB385" t="inlineStr">
        <is>
          <t>9781570590306</t>
        </is>
      </c>
      <c r="BC385" t="inlineStr">
        <is>
          <t>30001003110956</t>
        </is>
      </c>
      <c r="BD385" t="inlineStr">
        <is>
          <t>893649115</t>
        </is>
      </c>
    </row>
    <row r="386">
      <c r="A386" t="inlineStr">
        <is>
          <t>No</t>
        </is>
      </c>
      <c r="B386" t="inlineStr">
        <is>
          <t>QU 136 I61n 1978</t>
        </is>
      </c>
      <c r="C386" t="inlineStr">
        <is>
          <t>0                      QU 0136000I  61n         1978</t>
        </is>
      </c>
      <c r="D386" t="inlineStr">
        <is>
          <t>Na, K-ATPase : structure and kinetics / edited by J. C. Skou, J. G. Nørby.</t>
        </is>
      </c>
      <c r="F386" t="inlineStr">
        <is>
          <t>No</t>
        </is>
      </c>
      <c r="G386" t="inlineStr">
        <is>
          <t>1</t>
        </is>
      </c>
      <c r="H386" t="inlineStr">
        <is>
          <t>No</t>
        </is>
      </c>
      <c r="I386" t="inlineStr">
        <is>
          <t>No</t>
        </is>
      </c>
      <c r="J386" t="inlineStr">
        <is>
          <t>0</t>
        </is>
      </c>
      <c r="K386" t="inlineStr">
        <is>
          <t>International Conference on the Properties and Functions of Na, K-ATPase (2nd : 1978 : Sønderborg, Denmark)</t>
        </is>
      </c>
      <c r="L386" t="inlineStr">
        <is>
          <t>London : Academic Press, 1979.</t>
        </is>
      </c>
      <c r="M386" t="inlineStr">
        <is>
          <t>1979</t>
        </is>
      </c>
      <c r="O386" t="inlineStr">
        <is>
          <t>eng</t>
        </is>
      </c>
      <c r="P386" t="inlineStr">
        <is>
          <t>enk</t>
        </is>
      </c>
      <c r="R386" t="inlineStr">
        <is>
          <t xml:space="preserve">QU </t>
        </is>
      </c>
      <c r="S386" t="n">
        <v>4</v>
      </c>
      <c r="T386" t="n">
        <v>4</v>
      </c>
      <c r="U386" t="inlineStr">
        <is>
          <t>1999-04-12</t>
        </is>
      </c>
      <c r="V386" t="inlineStr">
        <is>
          <t>1999-04-12</t>
        </is>
      </c>
      <c r="W386" t="inlineStr">
        <is>
          <t>1988-01-25</t>
        </is>
      </c>
      <c r="X386" t="inlineStr">
        <is>
          <t>1988-01-25</t>
        </is>
      </c>
      <c r="Y386" t="n">
        <v>123</v>
      </c>
      <c r="Z386" t="n">
        <v>88</v>
      </c>
      <c r="AA386" t="n">
        <v>90</v>
      </c>
      <c r="AB386" t="n">
        <v>1</v>
      </c>
      <c r="AC386" t="n">
        <v>1</v>
      </c>
      <c r="AD386" t="n">
        <v>1</v>
      </c>
      <c r="AE386" t="n">
        <v>1</v>
      </c>
      <c r="AF386" t="n">
        <v>0</v>
      </c>
      <c r="AG386" t="n">
        <v>0</v>
      </c>
      <c r="AH386" t="n">
        <v>1</v>
      </c>
      <c r="AI386" t="n">
        <v>1</v>
      </c>
      <c r="AJ386" t="n">
        <v>0</v>
      </c>
      <c r="AK386" t="n">
        <v>0</v>
      </c>
      <c r="AL386" t="n">
        <v>0</v>
      </c>
      <c r="AM386" t="n">
        <v>0</v>
      </c>
      <c r="AN386" t="n">
        <v>0</v>
      </c>
      <c r="AO386" t="n">
        <v>0</v>
      </c>
      <c r="AP386" t="inlineStr">
        <is>
          <t>No</t>
        </is>
      </c>
      <c r="AQ386" t="inlineStr">
        <is>
          <t>Yes</t>
        </is>
      </c>
      <c r="AR386">
        <f>HYPERLINK("http://catalog.hathitrust.org/Record/000683993","HathiTrust Record")</f>
        <v/>
      </c>
      <c r="AS386">
        <f>HYPERLINK("https://creighton-primo.hosted.exlibrisgroup.com/primo-explore/search?tab=default_tab&amp;search_scope=EVERYTHING&amp;vid=01CRU&amp;lang=en_US&amp;offset=0&amp;query=any,contains,991000906279702656","Catalog Record")</f>
        <v/>
      </c>
      <c r="AT386">
        <f>HYPERLINK("http://www.worldcat.org/oclc/6420885","WorldCat Record")</f>
        <v/>
      </c>
      <c r="AU386" t="inlineStr">
        <is>
          <t>5616971087:eng</t>
        </is>
      </c>
      <c r="AV386" t="inlineStr">
        <is>
          <t>6420885</t>
        </is>
      </c>
      <c r="AW386" t="inlineStr">
        <is>
          <t>991000906279702656</t>
        </is>
      </c>
      <c r="AX386" t="inlineStr">
        <is>
          <t>991000906279702656</t>
        </is>
      </c>
      <c r="AY386" t="inlineStr">
        <is>
          <t>2271028520002656</t>
        </is>
      </c>
      <c r="AZ386" t="inlineStr">
        <is>
          <t>BOOK</t>
        </is>
      </c>
      <c r="BB386" t="inlineStr">
        <is>
          <t>9780126476507</t>
        </is>
      </c>
      <c r="BC386" t="inlineStr">
        <is>
          <t>30001000176992</t>
        </is>
      </c>
      <c r="BD386" t="inlineStr">
        <is>
          <t>893637787</t>
        </is>
      </c>
    </row>
    <row r="387">
      <c r="A387" t="inlineStr">
        <is>
          <t>No</t>
        </is>
      </c>
      <c r="B387" t="inlineStr">
        <is>
          <t>QU 136 K27s 1992</t>
        </is>
      </c>
      <c r="C387" t="inlineStr">
        <is>
          <t>0                      QU 0136000K  27s         1992</t>
        </is>
      </c>
      <c r="D387" t="inlineStr">
        <is>
          <t>Specificity of proteolysis / Borivoj Keil.</t>
        </is>
      </c>
      <c r="F387" t="inlineStr">
        <is>
          <t>No</t>
        </is>
      </c>
      <c r="G387" t="inlineStr">
        <is>
          <t>1</t>
        </is>
      </c>
      <c r="H387" t="inlineStr">
        <is>
          <t>No</t>
        </is>
      </c>
      <c r="I387" t="inlineStr">
        <is>
          <t>No</t>
        </is>
      </c>
      <c r="J387" t="inlineStr">
        <is>
          <t>0</t>
        </is>
      </c>
      <c r="K387" t="inlineStr">
        <is>
          <t>Keil, Bořivoj.</t>
        </is>
      </c>
      <c r="L387" t="inlineStr">
        <is>
          <t>Berlin ; New York : Springer-Verlag, c1992.</t>
        </is>
      </c>
      <c r="M387" t="inlineStr">
        <is>
          <t>1992</t>
        </is>
      </c>
      <c r="O387" t="inlineStr">
        <is>
          <t>eng</t>
        </is>
      </c>
      <c r="P387" t="inlineStr">
        <is>
          <t xml:space="preserve">gw </t>
        </is>
      </c>
      <c r="R387" t="inlineStr">
        <is>
          <t xml:space="preserve">QU </t>
        </is>
      </c>
      <c r="S387" t="n">
        <v>11</v>
      </c>
      <c r="T387" t="n">
        <v>11</v>
      </c>
      <c r="U387" t="inlineStr">
        <is>
          <t>2000-08-22</t>
        </is>
      </c>
      <c r="V387" t="inlineStr">
        <is>
          <t>2000-08-22</t>
        </is>
      </c>
      <c r="W387" t="inlineStr">
        <is>
          <t>1993-03-16</t>
        </is>
      </c>
      <c r="X387" t="inlineStr">
        <is>
          <t>1993-03-16</t>
        </is>
      </c>
      <c r="Y387" t="n">
        <v>108</v>
      </c>
      <c r="Z387" t="n">
        <v>73</v>
      </c>
      <c r="AA387" t="n">
        <v>95</v>
      </c>
      <c r="AB387" t="n">
        <v>1</v>
      </c>
      <c r="AC387" t="n">
        <v>1</v>
      </c>
      <c r="AD387" t="n">
        <v>2</v>
      </c>
      <c r="AE387" t="n">
        <v>3</v>
      </c>
      <c r="AF387" t="n">
        <v>0</v>
      </c>
      <c r="AG387" t="n">
        <v>1</v>
      </c>
      <c r="AH387" t="n">
        <v>2</v>
      </c>
      <c r="AI387" t="n">
        <v>2</v>
      </c>
      <c r="AJ387" t="n">
        <v>1</v>
      </c>
      <c r="AK387" t="n">
        <v>2</v>
      </c>
      <c r="AL387" t="n">
        <v>0</v>
      </c>
      <c r="AM387" t="n">
        <v>0</v>
      </c>
      <c r="AN387" t="n">
        <v>0</v>
      </c>
      <c r="AO387" t="n">
        <v>0</v>
      </c>
      <c r="AP387" t="inlineStr">
        <is>
          <t>No</t>
        </is>
      </c>
      <c r="AQ387" t="inlineStr">
        <is>
          <t>Yes</t>
        </is>
      </c>
      <c r="AR387">
        <f>HYPERLINK("http://catalog.hathitrust.org/Record/002712295","HathiTrust Record")</f>
        <v/>
      </c>
      <c r="AS387">
        <f>HYPERLINK("https://creighton-primo.hosted.exlibrisgroup.com/primo-explore/search?tab=default_tab&amp;search_scope=EVERYTHING&amp;vid=01CRU&amp;lang=en_US&amp;offset=0&amp;query=any,contains,991001481899702656","Catalog Record")</f>
        <v/>
      </c>
      <c r="AT387">
        <f>HYPERLINK("http://www.worldcat.org/oclc/25094484","WorldCat Record")</f>
        <v/>
      </c>
      <c r="AU387" t="inlineStr">
        <is>
          <t>43830490:eng</t>
        </is>
      </c>
      <c r="AV387" t="inlineStr">
        <is>
          <t>25094484</t>
        </is>
      </c>
      <c r="AW387" t="inlineStr">
        <is>
          <t>991001481899702656</t>
        </is>
      </c>
      <c r="AX387" t="inlineStr">
        <is>
          <t>991001481899702656</t>
        </is>
      </c>
      <c r="AY387" t="inlineStr">
        <is>
          <t>2262231940002656</t>
        </is>
      </c>
      <c r="AZ387" t="inlineStr">
        <is>
          <t>BOOK</t>
        </is>
      </c>
      <c r="BB387" t="inlineStr">
        <is>
          <t>9780387531182</t>
        </is>
      </c>
      <c r="BC387" t="inlineStr">
        <is>
          <t>30001002570085</t>
        </is>
      </c>
      <c r="BD387" t="inlineStr">
        <is>
          <t>893741162</t>
        </is>
      </c>
    </row>
    <row r="388">
      <c r="A388" t="inlineStr">
        <is>
          <t>No</t>
        </is>
      </c>
      <c r="B388" t="inlineStr">
        <is>
          <t>QU 136 P575 1988</t>
        </is>
      </c>
      <c r="C388" t="inlineStr">
        <is>
          <t>0                      QU 0136000P  575         1988</t>
        </is>
      </c>
      <c r="D388" t="inlineStr">
        <is>
          <t>Phosphatidate phosphohydrolase / editor, David N. Brindley.</t>
        </is>
      </c>
      <c r="E388" t="inlineStr">
        <is>
          <t>V. 2</t>
        </is>
      </c>
      <c r="F388" t="inlineStr">
        <is>
          <t>Yes</t>
        </is>
      </c>
      <c r="G388" t="inlineStr">
        <is>
          <t>1</t>
        </is>
      </c>
      <c r="H388" t="inlineStr">
        <is>
          <t>No</t>
        </is>
      </c>
      <c r="I388" t="inlineStr">
        <is>
          <t>No</t>
        </is>
      </c>
      <c r="J388" t="inlineStr">
        <is>
          <t>0</t>
        </is>
      </c>
      <c r="L388" t="inlineStr">
        <is>
          <t>Boca Raton, Fla. : CRC Press, c1988.</t>
        </is>
      </c>
      <c r="M388" t="inlineStr">
        <is>
          <t>1988</t>
        </is>
      </c>
      <c r="O388" t="inlineStr">
        <is>
          <t>eng</t>
        </is>
      </c>
      <c r="P388" t="inlineStr">
        <is>
          <t>xxu</t>
        </is>
      </c>
      <c r="Q388" t="inlineStr">
        <is>
          <t>CRC series in enzyme biology</t>
        </is>
      </c>
      <c r="R388" t="inlineStr">
        <is>
          <t xml:space="preserve">QU </t>
        </is>
      </c>
      <c r="S388" t="n">
        <v>3</v>
      </c>
      <c r="T388" t="n">
        <v>6</v>
      </c>
      <c r="U388" t="inlineStr">
        <is>
          <t>1990-03-19</t>
        </is>
      </c>
      <c r="V388" t="inlineStr">
        <is>
          <t>1990-03-19</t>
        </is>
      </c>
      <c r="W388" t="inlineStr">
        <is>
          <t>1989-08-29</t>
        </is>
      </c>
      <c r="X388" t="inlineStr">
        <is>
          <t>1989-08-29</t>
        </is>
      </c>
      <c r="Y388" t="n">
        <v>87</v>
      </c>
      <c r="Z388" t="n">
        <v>67</v>
      </c>
      <c r="AA388" t="n">
        <v>69</v>
      </c>
      <c r="AB388" t="n">
        <v>2</v>
      </c>
      <c r="AC388" t="n">
        <v>2</v>
      </c>
      <c r="AD388" t="n">
        <v>3</v>
      </c>
      <c r="AE388" t="n">
        <v>3</v>
      </c>
      <c r="AF388" t="n">
        <v>0</v>
      </c>
      <c r="AG388" t="n">
        <v>0</v>
      </c>
      <c r="AH388" t="n">
        <v>2</v>
      </c>
      <c r="AI388" t="n">
        <v>2</v>
      </c>
      <c r="AJ388" t="n">
        <v>1</v>
      </c>
      <c r="AK388" t="n">
        <v>1</v>
      </c>
      <c r="AL388" t="n">
        <v>1</v>
      </c>
      <c r="AM388" t="n">
        <v>1</v>
      </c>
      <c r="AN388" t="n">
        <v>0</v>
      </c>
      <c r="AO388" t="n">
        <v>0</v>
      </c>
      <c r="AP388" t="inlineStr">
        <is>
          <t>No</t>
        </is>
      </c>
      <c r="AQ388" t="inlineStr">
        <is>
          <t>Yes</t>
        </is>
      </c>
      <c r="AR388">
        <f>HYPERLINK("http://catalog.hathitrust.org/Record/000901004","HathiTrust Record")</f>
        <v/>
      </c>
      <c r="AS388">
        <f>HYPERLINK("https://creighton-primo.hosted.exlibrisgroup.com/primo-explore/search?tab=default_tab&amp;search_scope=EVERYTHING&amp;vid=01CRU&amp;lang=en_US&amp;offset=0&amp;query=any,contains,991001314109702656","Catalog Record")</f>
        <v/>
      </c>
      <c r="AT388">
        <f>HYPERLINK("http://www.worldcat.org/oclc/16354229","WorldCat Record")</f>
        <v/>
      </c>
      <c r="AU388" t="inlineStr">
        <is>
          <t>11904852:eng</t>
        </is>
      </c>
      <c r="AV388" t="inlineStr">
        <is>
          <t>16354229</t>
        </is>
      </c>
      <c r="AW388" t="inlineStr">
        <is>
          <t>991001314109702656</t>
        </is>
      </c>
      <c r="AX388" t="inlineStr">
        <is>
          <t>991001314109702656</t>
        </is>
      </c>
      <c r="AY388" t="inlineStr">
        <is>
          <t>2260879780002656</t>
        </is>
      </c>
      <c r="AZ388" t="inlineStr">
        <is>
          <t>BOOK</t>
        </is>
      </c>
      <c r="BB388" t="inlineStr">
        <is>
          <t>9780849343582</t>
        </is>
      </c>
      <c r="BC388" t="inlineStr">
        <is>
          <t>30001001752122</t>
        </is>
      </c>
      <c r="BD388" t="inlineStr">
        <is>
          <t>893363956</t>
        </is>
      </c>
    </row>
    <row r="389">
      <c r="A389" t="inlineStr">
        <is>
          <t>No</t>
        </is>
      </c>
      <c r="B389" t="inlineStr">
        <is>
          <t>QU 136 P575 1988</t>
        </is>
      </c>
      <c r="C389" t="inlineStr">
        <is>
          <t>0                      QU 0136000P  575         1988</t>
        </is>
      </c>
      <c r="D389" t="inlineStr">
        <is>
          <t>Phosphatidate phosphohydrolase / editor, David N. Brindley.</t>
        </is>
      </c>
      <c r="E389" t="inlineStr">
        <is>
          <t>V. 1</t>
        </is>
      </c>
      <c r="F389" t="inlineStr">
        <is>
          <t>Yes</t>
        </is>
      </c>
      <c r="G389" t="inlineStr">
        <is>
          <t>1</t>
        </is>
      </c>
      <c r="H389" t="inlineStr">
        <is>
          <t>No</t>
        </is>
      </c>
      <c r="I389" t="inlineStr">
        <is>
          <t>No</t>
        </is>
      </c>
      <c r="J389" t="inlineStr">
        <is>
          <t>0</t>
        </is>
      </c>
      <c r="L389" t="inlineStr">
        <is>
          <t>Boca Raton, Fla. : CRC Press, c1988.</t>
        </is>
      </c>
      <c r="M389" t="inlineStr">
        <is>
          <t>1988</t>
        </is>
      </c>
      <c r="O389" t="inlineStr">
        <is>
          <t>eng</t>
        </is>
      </c>
      <c r="P389" t="inlineStr">
        <is>
          <t>xxu</t>
        </is>
      </c>
      <c r="Q389" t="inlineStr">
        <is>
          <t>CRC series in enzyme biology</t>
        </is>
      </c>
      <c r="R389" t="inlineStr">
        <is>
          <t xml:space="preserve">QU </t>
        </is>
      </c>
      <c r="S389" t="n">
        <v>3</v>
      </c>
      <c r="T389" t="n">
        <v>6</v>
      </c>
      <c r="U389" t="inlineStr">
        <is>
          <t>1990-03-19</t>
        </is>
      </c>
      <c r="V389" t="inlineStr">
        <is>
          <t>1990-03-19</t>
        </is>
      </c>
      <c r="W389" t="inlineStr">
        <is>
          <t>1989-08-29</t>
        </is>
      </c>
      <c r="X389" t="inlineStr">
        <is>
          <t>1989-08-29</t>
        </is>
      </c>
      <c r="Y389" t="n">
        <v>87</v>
      </c>
      <c r="Z389" t="n">
        <v>67</v>
      </c>
      <c r="AA389" t="n">
        <v>69</v>
      </c>
      <c r="AB389" t="n">
        <v>2</v>
      </c>
      <c r="AC389" t="n">
        <v>2</v>
      </c>
      <c r="AD389" t="n">
        <v>3</v>
      </c>
      <c r="AE389" t="n">
        <v>3</v>
      </c>
      <c r="AF389" t="n">
        <v>0</v>
      </c>
      <c r="AG389" t="n">
        <v>0</v>
      </c>
      <c r="AH389" t="n">
        <v>2</v>
      </c>
      <c r="AI389" t="n">
        <v>2</v>
      </c>
      <c r="AJ389" t="n">
        <v>1</v>
      </c>
      <c r="AK389" t="n">
        <v>1</v>
      </c>
      <c r="AL389" t="n">
        <v>1</v>
      </c>
      <c r="AM389" t="n">
        <v>1</v>
      </c>
      <c r="AN389" t="n">
        <v>0</v>
      </c>
      <c r="AO389" t="n">
        <v>0</v>
      </c>
      <c r="AP389" t="inlineStr">
        <is>
          <t>No</t>
        </is>
      </c>
      <c r="AQ389" t="inlineStr">
        <is>
          <t>Yes</t>
        </is>
      </c>
      <c r="AR389">
        <f>HYPERLINK("http://catalog.hathitrust.org/Record/000901004","HathiTrust Record")</f>
        <v/>
      </c>
      <c r="AS389">
        <f>HYPERLINK("https://creighton-primo.hosted.exlibrisgroup.com/primo-explore/search?tab=default_tab&amp;search_scope=EVERYTHING&amp;vid=01CRU&amp;lang=en_US&amp;offset=0&amp;query=any,contains,991001314109702656","Catalog Record")</f>
        <v/>
      </c>
      <c r="AT389">
        <f>HYPERLINK("http://www.worldcat.org/oclc/16354229","WorldCat Record")</f>
        <v/>
      </c>
      <c r="AU389" t="inlineStr">
        <is>
          <t>11904852:eng</t>
        </is>
      </c>
      <c r="AV389" t="inlineStr">
        <is>
          <t>16354229</t>
        </is>
      </c>
      <c r="AW389" t="inlineStr">
        <is>
          <t>991001314109702656</t>
        </is>
      </c>
      <c r="AX389" t="inlineStr">
        <is>
          <t>991001314109702656</t>
        </is>
      </c>
      <c r="AY389" t="inlineStr">
        <is>
          <t>2260879780002656</t>
        </is>
      </c>
      <c r="AZ389" t="inlineStr">
        <is>
          <t>BOOK</t>
        </is>
      </c>
      <c r="BB389" t="inlineStr">
        <is>
          <t>9780849343582</t>
        </is>
      </c>
      <c r="BC389" t="inlineStr">
        <is>
          <t>30001001752114</t>
        </is>
      </c>
      <c r="BD389" t="inlineStr">
        <is>
          <t>893369314</t>
        </is>
      </c>
    </row>
    <row r="390">
      <c r="A390" t="inlineStr">
        <is>
          <t>No</t>
        </is>
      </c>
      <c r="B390" t="inlineStr">
        <is>
          <t>QU 136 P9665 1993</t>
        </is>
      </c>
      <c r="C390" t="inlineStr">
        <is>
          <t>0                      QU 0136000P  9665        1993</t>
        </is>
      </c>
      <c r="D390" t="inlineStr">
        <is>
          <t>Protease inhibitors as cancer chemopreventive agents / edited by Walter Troll and Ann R. Kennedy.</t>
        </is>
      </c>
      <c r="F390" t="inlineStr">
        <is>
          <t>No</t>
        </is>
      </c>
      <c r="G390" t="inlineStr">
        <is>
          <t>1</t>
        </is>
      </c>
      <c r="H390" t="inlineStr">
        <is>
          <t>No</t>
        </is>
      </c>
      <c r="I390" t="inlineStr">
        <is>
          <t>No</t>
        </is>
      </c>
      <c r="J390" t="inlineStr">
        <is>
          <t>0</t>
        </is>
      </c>
      <c r="L390" t="inlineStr">
        <is>
          <t>New York : Plenum Press, c1993.</t>
        </is>
      </c>
      <c r="M390" t="inlineStr">
        <is>
          <t>1993</t>
        </is>
      </c>
      <c r="O390" t="inlineStr">
        <is>
          <t>eng</t>
        </is>
      </c>
      <c r="P390" t="inlineStr">
        <is>
          <t>nyu</t>
        </is>
      </c>
      <c r="R390" t="inlineStr">
        <is>
          <t xml:space="preserve">QU </t>
        </is>
      </c>
      <c r="S390" t="n">
        <v>3</v>
      </c>
      <c r="T390" t="n">
        <v>3</v>
      </c>
      <c r="U390" t="inlineStr">
        <is>
          <t>1994-08-29</t>
        </is>
      </c>
      <c r="V390" t="inlineStr">
        <is>
          <t>1994-08-29</t>
        </is>
      </c>
      <c r="W390" t="inlineStr">
        <is>
          <t>1994-04-05</t>
        </is>
      </c>
      <c r="X390" t="inlineStr">
        <is>
          <t>1994-04-05</t>
        </is>
      </c>
      <c r="Y390" t="n">
        <v>114</v>
      </c>
      <c r="Z390" t="n">
        <v>89</v>
      </c>
      <c r="AA390" t="n">
        <v>112</v>
      </c>
      <c r="AB390" t="n">
        <v>1</v>
      </c>
      <c r="AC390" t="n">
        <v>1</v>
      </c>
      <c r="AD390" t="n">
        <v>3</v>
      </c>
      <c r="AE390" t="n">
        <v>3</v>
      </c>
      <c r="AF390" t="n">
        <v>0</v>
      </c>
      <c r="AG390" t="n">
        <v>0</v>
      </c>
      <c r="AH390" t="n">
        <v>2</v>
      </c>
      <c r="AI390" t="n">
        <v>2</v>
      </c>
      <c r="AJ390" t="n">
        <v>1</v>
      </c>
      <c r="AK390" t="n">
        <v>1</v>
      </c>
      <c r="AL390" t="n">
        <v>0</v>
      </c>
      <c r="AM390" t="n">
        <v>0</v>
      </c>
      <c r="AN390" t="n">
        <v>0</v>
      </c>
      <c r="AO390" t="n">
        <v>0</v>
      </c>
      <c r="AP390" t="inlineStr">
        <is>
          <t>No</t>
        </is>
      </c>
      <c r="AQ390" t="inlineStr">
        <is>
          <t>Yes</t>
        </is>
      </c>
      <c r="AR390">
        <f>HYPERLINK("http://catalog.hathitrust.org/Record/002706931","HathiTrust Record")</f>
        <v/>
      </c>
      <c r="AS390">
        <f>HYPERLINK("https://creighton-primo.hosted.exlibrisgroup.com/primo-explore/search?tab=default_tab&amp;search_scope=EVERYTHING&amp;vid=01CRU&amp;lang=en_US&amp;offset=0&amp;query=any,contains,991000669429702656","Catalog Record")</f>
        <v/>
      </c>
      <c r="AT390">
        <f>HYPERLINK("http://www.worldcat.org/oclc/28182453","WorldCat Record")</f>
        <v/>
      </c>
      <c r="AU390" t="inlineStr">
        <is>
          <t>353700977:eng</t>
        </is>
      </c>
      <c r="AV390" t="inlineStr">
        <is>
          <t>28182453</t>
        </is>
      </c>
      <c r="AW390" t="inlineStr">
        <is>
          <t>991000669429702656</t>
        </is>
      </c>
      <c r="AX390" t="inlineStr">
        <is>
          <t>991000669429702656</t>
        </is>
      </c>
      <c r="AY390" t="inlineStr">
        <is>
          <t>2272429160002656</t>
        </is>
      </c>
      <c r="AZ390" t="inlineStr">
        <is>
          <t>BOOK</t>
        </is>
      </c>
      <c r="BB390" t="inlineStr">
        <is>
          <t>9780306443909</t>
        </is>
      </c>
      <c r="BC390" t="inlineStr">
        <is>
          <t>30001002695676</t>
        </is>
      </c>
      <c r="BD390" t="inlineStr">
        <is>
          <t>893830999</t>
        </is>
      </c>
    </row>
    <row r="391">
      <c r="A391" t="inlineStr">
        <is>
          <t>No</t>
        </is>
      </c>
      <c r="B391" t="inlineStr">
        <is>
          <t>QU136 P9678 2001</t>
        </is>
      </c>
      <c r="C391" t="inlineStr">
        <is>
          <t>0                      QU 0136000P  9678        2001</t>
        </is>
      </c>
      <c r="D391" t="inlineStr">
        <is>
          <t>Proteolytic enzymes : a practical approach / edited by Rob Beynon and Judith S. Bond.</t>
        </is>
      </c>
      <c r="F391" t="inlineStr">
        <is>
          <t>No</t>
        </is>
      </c>
      <c r="G391" t="inlineStr">
        <is>
          <t>1</t>
        </is>
      </c>
      <c r="H391" t="inlineStr">
        <is>
          <t>No</t>
        </is>
      </c>
      <c r="I391" t="inlineStr">
        <is>
          <t>No</t>
        </is>
      </c>
      <c r="J391" t="inlineStr">
        <is>
          <t>1</t>
        </is>
      </c>
      <c r="L391" t="inlineStr">
        <is>
          <t>Oxford ; New York : Oxford University Press, 2001.</t>
        </is>
      </c>
      <c r="M391" t="inlineStr">
        <is>
          <t>2001</t>
        </is>
      </c>
      <c r="N391" t="inlineStr">
        <is>
          <t>2nd ed.</t>
        </is>
      </c>
      <c r="O391" t="inlineStr">
        <is>
          <t>eng</t>
        </is>
      </c>
      <c r="P391" t="inlineStr">
        <is>
          <t>enk</t>
        </is>
      </c>
      <c r="Q391" t="inlineStr">
        <is>
          <t>The practical approach series</t>
        </is>
      </c>
      <c r="R391" t="inlineStr">
        <is>
          <t xml:space="preserve">QU </t>
        </is>
      </c>
      <c r="S391" t="n">
        <v>1</v>
      </c>
      <c r="T391" t="n">
        <v>1</v>
      </c>
      <c r="U391" t="inlineStr">
        <is>
          <t>2002-03-27</t>
        </is>
      </c>
      <c r="V391" t="inlineStr">
        <is>
          <t>2002-03-27</t>
        </is>
      </c>
      <c r="W391" t="inlineStr">
        <is>
          <t>2002-03-20</t>
        </is>
      </c>
      <c r="X391" t="inlineStr">
        <is>
          <t>2002-03-20</t>
        </is>
      </c>
      <c r="Y391" t="n">
        <v>230</v>
      </c>
      <c r="Z391" t="n">
        <v>141</v>
      </c>
      <c r="AA391" t="n">
        <v>952</v>
      </c>
      <c r="AB391" t="n">
        <v>1</v>
      </c>
      <c r="AC391" t="n">
        <v>14</v>
      </c>
      <c r="AD391" t="n">
        <v>4</v>
      </c>
      <c r="AE391" t="n">
        <v>34</v>
      </c>
      <c r="AF391" t="n">
        <v>0</v>
      </c>
      <c r="AG391" t="n">
        <v>8</v>
      </c>
      <c r="AH391" t="n">
        <v>2</v>
      </c>
      <c r="AI391" t="n">
        <v>7</v>
      </c>
      <c r="AJ391" t="n">
        <v>3</v>
      </c>
      <c r="AK391" t="n">
        <v>12</v>
      </c>
      <c r="AL391" t="n">
        <v>0</v>
      </c>
      <c r="AM391" t="n">
        <v>12</v>
      </c>
      <c r="AN391" t="n">
        <v>0</v>
      </c>
      <c r="AO391" t="n">
        <v>1</v>
      </c>
      <c r="AP391" t="inlineStr">
        <is>
          <t>No</t>
        </is>
      </c>
      <c r="AQ391" t="inlineStr">
        <is>
          <t>No</t>
        </is>
      </c>
      <c r="AS391">
        <f>HYPERLINK("https://creighton-primo.hosted.exlibrisgroup.com/primo-explore/search?tab=default_tab&amp;search_scope=EVERYTHING&amp;vid=01CRU&amp;lang=en_US&amp;offset=0&amp;query=any,contains,991000306889702656","Catalog Record")</f>
        <v/>
      </c>
      <c r="AT391">
        <f>HYPERLINK("http://www.worldcat.org/oclc/44869022","WorldCat Record")</f>
        <v/>
      </c>
      <c r="AU391" t="inlineStr">
        <is>
          <t>793878396:eng</t>
        </is>
      </c>
      <c r="AV391" t="inlineStr">
        <is>
          <t>44869022</t>
        </is>
      </c>
      <c r="AW391" t="inlineStr">
        <is>
          <t>991000306889702656</t>
        </is>
      </c>
      <c r="AX391" t="inlineStr">
        <is>
          <t>991000306889702656</t>
        </is>
      </c>
      <c r="AY391" t="inlineStr">
        <is>
          <t>2267357490002656</t>
        </is>
      </c>
      <c r="AZ391" t="inlineStr">
        <is>
          <t>BOOK</t>
        </is>
      </c>
      <c r="BB391" t="inlineStr">
        <is>
          <t>9780199636624</t>
        </is>
      </c>
      <c r="BC391" t="inlineStr">
        <is>
          <t>30001004237048</t>
        </is>
      </c>
      <c r="BD391" t="inlineStr">
        <is>
          <t>893741635</t>
        </is>
      </c>
    </row>
    <row r="392">
      <c r="A392" t="inlineStr">
        <is>
          <t>No</t>
        </is>
      </c>
      <c r="B392" t="inlineStr">
        <is>
          <t>QU 136 R295 1989</t>
        </is>
      </c>
      <c r="C392" t="inlineStr">
        <is>
          <t>0                      QU 0136000R  295         1989</t>
        </is>
      </c>
      <c r="D392" t="inlineStr">
        <is>
          <t>Recent advances in the chemistry of ss-Lactam antibiotics / edited by P.H. Bentley, R. Southgate.</t>
        </is>
      </c>
      <c r="F392" t="inlineStr">
        <is>
          <t>No</t>
        </is>
      </c>
      <c r="G392" t="inlineStr">
        <is>
          <t>1</t>
        </is>
      </c>
      <c r="H392" t="inlineStr">
        <is>
          <t>No</t>
        </is>
      </c>
      <c r="I392" t="inlineStr">
        <is>
          <t>No</t>
        </is>
      </c>
      <c r="J392" t="inlineStr">
        <is>
          <t>0</t>
        </is>
      </c>
      <c r="L392" t="inlineStr">
        <is>
          <t>Royal Society of Chemistry, c1989.</t>
        </is>
      </c>
      <c r="M392" t="inlineStr">
        <is>
          <t>1989</t>
        </is>
      </c>
      <c r="O392" t="inlineStr">
        <is>
          <t>eng</t>
        </is>
      </c>
      <c r="P392" t="inlineStr">
        <is>
          <t>enk</t>
        </is>
      </c>
      <c r="R392" t="inlineStr">
        <is>
          <t xml:space="preserve">QU </t>
        </is>
      </c>
      <c r="S392" t="n">
        <v>7</v>
      </c>
      <c r="T392" t="n">
        <v>7</v>
      </c>
      <c r="U392" t="inlineStr">
        <is>
          <t>1999-10-12</t>
        </is>
      </c>
      <c r="V392" t="inlineStr">
        <is>
          <t>1999-10-12</t>
        </is>
      </c>
      <c r="W392" t="inlineStr">
        <is>
          <t>1989-07-06</t>
        </is>
      </c>
      <c r="X392" t="inlineStr">
        <is>
          <t>1989-07-06</t>
        </is>
      </c>
      <c r="Y392" t="n">
        <v>50</v>
      </c>
      <c r="Z392" t="n">
        <v>43</v>
      </c>
      <c r="AA392" t="n">
        <v>114</v>
      </c>
      <c r="AB392" t="n">
        <v>1</v>
      </c>
      <c r="AC392" t="n">
        <v>2</v>
      </c>
      <c r="AD392" t="n">
        <v>0</v>
      </c>
      <c r="AE392" t="n">
        <v>2</v>
      </c>
      <c r="AF392" t="n">
        <v>0</v>
      </c>
      <c r="AG392" t="n">
        <v>0</v>
      </c>
      <c r="AH392" t="n">
        <v>0</v>
      </c>
      <c r="AI392" t="n">
        <v>1</v>
      </c>
      <c r="AJ392" t="n">
        <v>0</v>
      </c>
      <c r="AK392" t="n">
        <v>1</v>
      </c>
      <c r="AL392" t="n">
        <v>0</v>
      </c>
      <c r="AM392" t="n">
        <v>1</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HYPERLINK("https://creighton-primo.hosted.exlibrisgroup.com/primo-explore/search?tab=default_tab&amp;search_scope=EVERYTHING&amp;vid=01CRU&amp;lang=en_US&amp;offset=0&amp;query=any,contains,991001252999702656","Catalog Record")</f>
        <v/>
      </c>
      <c r="AT392">
        <f>HYPERLINK("http://www.worldcat.org/oclc/19352792","WorldCat Record")</f>
        <v/>
      </c>
      <c r="AU392" t="inlineStr">
        <is>
          <t>1007641518:eng</t>
        </is>
      </c>
      <c r="AV392" t="inlineStr">
        <is>
          <t>19352792</t>
        </is>
      </c>
      <c r="AW392" t="inlineStr">
        <is>
          <t>991001252999702656</t>
        </is>
      </c>
      <c r="AX392" t="inlineStr">
        <is>
          <t>991001252999702656</t>
        </is>
      </c>
      <c r="AY392" t="inlineStr">
        <is>
          <t>2269551880002656</t>
        </is>
      </c>
      <c r="AZ392" t="inlineStr">
        <is>
          <t>BOOK</t>
        </is>
      </c>
      <c r="BB392" t="inlineStr">
        <is>
          <t>9780851868165</t>
        </is>
      </c>
      <c r="BC392" t="inlineStr">
        <is>
          <t>30001001679440</t>
        </is>
      </c>
      <c r="BD392" t="inlineStr">
        <is>
          <t>893374396</t>
        </is>
      </c>
    </row>
    <row r="393">
      <c r="A393" t="inlineStr">
        <is>
          <t>No</t>
        </is>
      </c>
      <c r="B393" t="inlineStr">
        <is>
          <t>QU 140 G567 1985</t>
        </is>
      </c>
      <c r="C393" t="inlineStr">
        <is>
          <t>0                      QU 0140000G  567         1985</t>
        </is>
      </c>
      <c r="D393" t="inlineStr">
        <is>
          <t>Glucose-6-phosphate dehydrogenase / edited by Akira Yoshida, Ernest Beutler.</t>
        </is>
      </c>
      <c r="F393" t="inlineStr">
        <is>
          <t>No</t>
        </is>
      </c>
      <c r="G393" t="inlineStr">
        <is>
          <t>1</t>
        </is>
      </c>
      <c r="H393" t="inlineStr">
        <is>
          <t>No</t>
        </is>
      </c>
      <c r="I393" t="inlineStr">
        <is>
          <t>No</t>
        </is>
      </c>
      <c r="J393" t="inlineStr">
        <is>
          <t>0</t>
        </is>
      </c>
      <c r="L393" t="inlineStr">
        <is>
          <t>Orlando : Academic Press, c1986.</t>
        </is>
      </c>
      <c r="M393" t="inlineStr">
        <is>
          <t>1986</t>
        </is>
      </c>
      <c r="O393" t="inlineStr">
        <is>
          <t>eng</t>
        </is>
      </c>
      <c r="P393" t="inlineStr">
        <is>
          <t>xxu</t>
        </is>
      </c>
      <c r="R393" t="inlineStr">
        <is>
          <t xml:space="preserve">QU </t>
        </is>
      </c>
      <c r="S393" t="n">
        <v>6</v>
      </c>
      <c r="T393" t="n">
        <v>6</v>
      </c>
      <c r="U393" t="inlineStr">
        <is>
          <t>1998-03-15</t>
        </is>
      </c>
      <c r="V393" t="inlineStr">
        <is>
          <t>1998-03-15</t>
        </is>
      </c>
      <c r="W393" t="inlineStr">
        <is>
          <t>1987-09-09</t>
        </is>
      </c>
      <c r="X393" t="inlineStr">
        <is>
          <t>1987-09-09</t>
        </is>
      </c>
      <c r="Y393" t="n">
        <v>108</v>
      </c>
      <c r="Z393" t="n">
        <v>84</v>
      </c>
      <c r="AA393" t="n">
        <v>132</v>
      </c>
      <c r="AB393" t="n">
        <v>1</v>
      </c>
      <c r="AC393" t="n">
        <v>1</v>
      </c>
      <c r="AD393" t="n">
        <v>3</v>
      </c>
      <c r="AE393" t="n">
        <v>6</v>
      </c>
      <c r="AF393" t="n">
        <v>0</v>
      </c>
      <c r="AG393" t="n">
        <v>2</v>
      </c>
      <c r="AH393" t="n">
        <v>2</v>
      </c>
      <c r="AI393" t="n">
        <v>4</v>
      </c>
      <c r="AJ393" t="n">
        <v>1</v>
      </c>
      <c r="AK393" t="n">
        <v>1</v>
      </c>
      <c r="AL393" t="n">
        <v>0</v>
      </c>
      <c r="AM393" t="n">
        <v>0</v>
      </c>
      <c r="AN393" t="n">
        <v>0</v>
      </c>
      <c r="AO393" t="n">
        <v>0</v>
      </c>
      <c r="AP393" t="inlineStr">
        <is>
          <t>No</t>
        </is>
      </c>
      <c r="AQ393" t="inlineStr">
        <is>
          <t>Yes</t>
        </is>
      </c>
      <c r="AR393">
        <f>HYPERLINK("http://catalog.hathitrust.org/Record/000824849","HathiTrust Record")</f>
        <v/>
      </c>
      <c r="AS393">
        <f>HYPERLINK("https://creighton-primo.hosted.exlibrisgroup.com/primo-explore/search?tab=default_tab&amp;search_scope=EVERYTHING&amp;vid=01CRU&amp;lang=en_US&amp;offset=0&amp;query=any,contains,991001268589702656","Catalog Record")</f>
        <v/>
      </c>
      <c r="AT393">
        <f>HYPERLINK("http://www.worldcat.org/oclc/14132148","WorldCat Record")</f>
        <v/>
      </c>
      <c r="AU393" t="inlineStr">
        <is>
          <t>510180175:eng</t>
        </is>
      </c>
      <c r="AV393" t="inlineStr">
        <is>
          <t>14132148</t>
        </is>
      </c>
      <c r="AW393" t="inlineStr">
        <is>
          <t>991001268589702656</t>
        </is>
      </c>
      <c r="AX393" t="inlineStr">
        <is>
          <t>991001268589702656</t>
        </is>
      </c>
      <c r="AY393" t="inlineStr">
        <is>
          <t>2266832340002656</t>
        </is>
      </c>
      <c r="AZ393" t="inlineStr">
        <is>
          <t>BOOK</t>
        </is>
      </c>
      <c r="BB393" t="inlineStr">
        <is>
          <t>9780127726403</t>
        </is>
      </c>
      <c r="BC393" t="inlineStr">
        <is>
          <t>30001000354003</t>
        </is>
      </c>
      <c r="BD393" t="inlineStr">
        <is>
          <t>893284613</t>
        </is>
      </c>
    </row>
    <row r="394">
      <c r="A394" t="inlineStr">
        <is>
          <t>No</t>
        </is>
      </c>
      <c r="B394" t="inlineStr">
        <is>
          <t>QU 140 H4885 2005</t>
        </is>
      </c>
      <c r="C394" t="inlineStr">
        <is>
          <t>0                      QU 0140000H  4885        2005</t>
        </is>
      </c>
      <c r="D394" t="inlineStr">
        <is>
          <t>Heme oxygenase : the elegant orchestration of its products in medicine / Leo E. Otterbein, Brian S. Zuckerbraun, editors.</t>
        </is>
      </c>
      <c r="F394" t="inlineStr">
        <is>
          <t>No</t>
        </is>
      </c>
      <c r="G394" t="inlineStr">
        <is>
          <t>1</t>
        </is>
      </c>
      <c r="H394" t="inlineStr">
        <is>
          <t>No</t>
        </is>
      </c>
      <c r="I394" t="inlineStr">
        <is>
          <t>No</t>
        </is>
      </c>
      <c r="J394" t="inlineStr">
        <is>
          <t>0</t>
        </is>
      </c>
      <c r="L394" t="inlineStr">
        <is>
          <t>New York : Nova Biomedical Books, c2005.</t>
        </is>
      </c>
      <c r="M394" t="inlineStr">
        <is>
          <t>2005</t>
        </is>
      </c>
      <c r="O394" t="inlineStr">
        <is>
          <t>eng</t>
        </is>
      </c>
      <c r="P394" t="inlineStr">
        <is>
          <t>nyu</t>
        </is>
      </c>
      <c r="R394" t="inlineStr">
        <is>
          <t xml:space="preserve">QU </t>
        </is>
      </c>
      <c r="S394" t="n">
        <v>0</v>
      </c>
      <c r="T394" t="n">
        <v>0</v>
      </c>
      <c r="U394" t="inlineStr">
        <is>
          <t>2007-02-09</t>
        </is>
      </c>
      <c r="V394" t="inlineStr">
        <is>
          <t>2007-02-09</t>
        </is>
      </c>
      <c r="W394" t="inlineStr">
        <is>
          <t>2007-02-06</t>
        </is>
      </c>
      <c r="X394" t="inlineStr">
        <is>
          <t>2007-02-06</t>
        </is>
      </c>
      <c r="Y394" t="n">
        <v>50</v>
      </c>
      <c r="Z394" t="n">
        <v>34</v>
      </c>
      <c r="AA394" t="n">
        <v>34</v>
      </c>
      <c r="AB394" t="n">
        <v>1</v>
      </c>
      <c r="AC394" t="n">
        <v>1</v>
      </c>
      <c r="AD394" t="n">
        <v>1</v>
      </c>
      <c r="AE394" t="n">
        <v>1</v>
      </c>
      <c r="AF394" t="n">
        <v>0</v>
      </c>
      <c r="AG394" t="n">
        <v>0</v>
      </c>
      <c r="AH394" t="n">
        <v>1</v>
      </c>
      <c r="AI394" t="n">
        <v>1</v>
      </c>
      <c r="AJ394" t="n">
        <v>1</v>
      </c>
      <c r="AK394" t="n">
        <v>1</v>
      </c>
      <c r="AL394" t="n">
        <v>0</v>
      </c>
      <c r="AM394" t="n">
        <v>0</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HYPERLINK("https://creighton-primo.hosted.exlibrisgroup.com/primo-explore/search?tab=default_tab&amp;search_scope=EVERYTHING&amp;vid=01CRU&amp;lang=en_US&amp;offset=0&amp;query=any,contains,991000592799702656","Catalog Record")</f>
        <v/>
      </c>
      <c r="AT394">
        <f>HYPERLINK("http://www.worldcat.org/oclc/59011561","WorldCat Record")</f>
        <v/>
      </c>
      <c r="AU394" t="inlineStr">
        <is>
          <t>364632612:eng</t>
        </is>
      </c>
      <c r="AV394" t="inlineStr">
        <is>
          <t>59011561</t>
        </is>
      </c>
      <c r="AW394" t="inlineStr">
        <is>
          <t>991000592799702656</t>
        </is>
      </c>
      <c r="AX394" t="inlineStr">
        <is>
          <t>991000592799702656</t>
        </is>
      </c>
      <c r="AY394" t="inlineStr">
        <is>
          <t>2270334680002656</t>
        </is>
      </c>
      <c r="AZ394" t="inlineStr">
        <is>
          <t>BOOK</t>
        </is>
      </c>
      <c r="BB394" t="inlineStr">
        <is>
          <t>9781594544477</t>
        </is>
      </c>
      <c r="BC394" t="inlineStr">
        <is>
          <t>30001005175346</t>
        </is>
      </c>
      <c r="BD394" t="inlineStr">
        <is>
          <t>893356857</t>
        </is>
      </c>
    </row>
    <row r="395">
      <c r="A395" t="inlineStr">
        <is>
          <t>No</t>
        </is>
      </c>
      <c r="B395" t="inlineStr">
        <is>
          <t>QU 140 M751 1979</t>
        </is>
      </c>
      <c r="C395" t="inlineStr">
        <is>
          <t>0                      QU 0140000M  751         1979</t>
        </is>
      </c>
      <c r="D395" t="inlineStr">
        <is>
          <t>Monoamine oxidase : structure, function, and altered functions / edited by Thomas P. Singer, R. W. Von Korff, Dennis Murphy.</t>
        </is>
      </c>
      <c r="F395" t="inlineStr">
        <is>
          <t>No</t>
        </is>
      </c>
      <c r="G395" t="inlineStr">
        <is>
          <t>1</t>
        </is>
      </c>
      <c r="H395" t="inlineStr">
        <is>
          <t>No</t>
        </is>
      </c>
      <c r="I395" t="inlineStr">
        <is>
          <t>No</t>
        </is>
      </c>
      <c r="J395" t="inlineStr">
        <is>
          <t>0</t>
        </is>
      </c>
      <c r="L395" t="inlineStr">
        <is>
          <t>New York : Academic Press, 1979.</t>
        </is>
      </c>
      <c r="M395" t="inlineStr">
        <is>
          <t>1979</t>
        </is>
      </c>
      <c r="O395" t="inlineStr">
        <is>
          <t>eng</t>
        </is>
      </c>
      <c r="P395" t="inlineStr">
        <is>
          <t>nyu</t>
        </is>
      </c>
      <c r="R395" t="inlineStr">
        <is>
          <t xml:space="preserve">QU </t>
        </is>
      </c>
      <c r="S395" t="n">
        <v>4</v>
      </c>
      <c r="T395" t="n">
        <v>4</v>
      </c>
      <c r="U395" t="inlineStr">
        <is>
          <t>1998-10-06</t>
        </is>
      </c>
      <c r="V395" t="inlineStr">
        <is>
          <t>1998-10-06</t>
        </is>
      </c>
      <c r="W395" t="inlineStr">
        <is>
          <t>1988-01-25</t>
        </is>
      </c>
      <c r="X395" t="inlineStr">
        <is>
          <t>1988-01-25</t>
        </is>
      </c>
      <c r="Y395" t="n">
        <v>179</v>
      </c>
      <c r="Z395" t="n">
        <v>128</v>
      </c>
      <c r="AA395" t="n">
        <v>130</v>
      </c>
      <c r="AB395" t="n">
        <v>2</v>
      </c>
      <c r="AC395" t="n">
        <v>2</v>
      </c>
      <c r="AD395" t="n">
        <v>4</v>
      </c>
      <c r="AE395" t="n">
        <v>4</v>
      </c>
      <c r="AF395" t="n">
        <v>1</v>
      </c>
      <c r="AG395" t="n">
        <v>1</v>
      </c>
      <c r="AH395" t="n">
        <v>2</v>
      </c>
      <c r="AI395" t="n">
        <v>2</v>
      </c>
      <c r="AJ395" t="n">
        <v>1</v>
      </c>
      <c r="AK395" t="n">
        <v>1</v>
      </c>
      <c r="AL395" t="n">
        <v>1</v>
      </c>
      <c r="AM395" t="n">
        <v>1</v>
      </c>
      <c r="AN395" t="n">
        <v>0</v>
      </c>
      <c r="AO395" t="n">
        <v>0</v>
      </c>
      <c r="AP395" t="inlineStr">
        <is>
          <t>No</t>
        </is>
      </c>
      <c r="AQ395" t="inlineStr">
        <is>
          <t>Yes</t>
        </is>
      </c>
      <c r="AR395">
        <f>HYPERLINK("http://catalog.hathitrust.org/Record/000039497","HathiTrust Record")</f>
        <v/>
      </c>
      <c r="AS395">
        <f>HYPERLINK("https://creighton-primo.hosted.exlibrisgroup.com/primo-explore/search?tab=default_tab&amp;search_scope=EVERYTHING&amp;vid=01CRU&amp;lang=en_US&amp;offset=0&amp;query=any,contains,991000906229702656","Catalog Record")</f>
        <v/>
      </c>
      <c r="AT395">
        <f>HYPERLINK("http://www.worldcat.org/oclc/5676443","WorldCat Record")</f>
        <v/>
      </c>
      <c r="AU395" t="inlineStr">
        <is>
          <t>796069830:eng</t>
        </is>
      </c>
      <c r="AV395" t="inlineStr">
        <is>
          <t>5676443</t>
        </is>
      </c>
      <c r="AW395" t="inlineStr">
        <is>
          <t>991000906229702656</t>
        </is>
      </c>
      <c r="AX395" t="inlineStr">
        <is>
          <t>991000906229702656</t>
        </is>
      </c>
      <c r="AY395" t="inlineStr">
        <is>
          <t>2260172730002656</t>
        </is>
      </c>
      <c r="AZ395" t="inlineStr">
        <is>
          <t>BOOK</t>
        </is>
      </c>
      <c r="BB395" t="inlineStr">
        <is>
          <t>9780126468809</t>
        </is>
      </c>
      <c r="BC395" t="inlineStr">
        <is>
          <t>30001000176950</t>
        </is>
      </c>
      <c r="BD395" t="inlineStr">
        <is>
          <t>893133964</t>
        </is>
      </c>
    </row>
    <row r="396">
      <c r="A396" t="inlineStr">
        <is>
          <t>No</t>
        </is>
      </c>
      <c r="B396" t="inlineStr">
        <is>
          <t>QU 141 H436 1979</t>
        </is>
      </c>
      <c r="C396" t="inlineStr">
        <is>
          <t>0                      QU 0141000H  436         1979</t>
        </is>
      </c>
      <c r="D396" t="inlineStr">
        <is>
          <t>Heart creatine kinase : the integration of isozymes for energy distribution / edited by William E. Jacobus and Joanne S. Ingwall.</t>
        </is>
      </c>
      <c r="F396" t="inlineStr">
        <is>
          <t>No</t>
        </is>
      </c>
      <c r="G396" t="inlineStr">
        <is>
          <t>1</t>
        </is>
      </c>
      <c r="H396" t="inlineStr">
        <is>
          <t>No</t>
        </is>
      </c>
      <c r="I396" t="inlineStr">
        <is>
          <t>No</t>
        </is>
      </c>
      <c r="J396" t="inlineStr">
        <is>
          <t>0</t>
        </is>
      </c>
      <c r="L396" t="inlineStr">
        <is>
          <t>Baltimore : Williams &amp; Wilkins, c1981.</t>
        </is>
      </c>
      <c r="M396" t="inlineStr">
        <is>
          <t>1981</t>
        </is>
      </c>
      <c r="O396" t="inlineStr">
        <is>
          <t>eng</t>
        </is>
      </c>
      <c r="P396" t="inlineStr">
        <is>
          <t>xxu</t>
        </is>
      </c>
      <c r="R396" t="inlineStr">
        <is>
          <t xml:space="preserve">QU </t>
        </is>
      </c>
      <c r="S396" t="n">
        <v>8</v>
      </c>
      <c r="T396" t="n">
        <v>8</v>
      </c>
      <c r="U396" t="inlineStr">
        <is>
          <t>1997-03-26</t>
        </is>
      </c>
      <c r="V396" t="inlineStr">
        <is>
          <t>1997-03-26</t>
        </is>
      </c>
      <c r="W396" t="inlineStr">
        <is>
          <t>1988-01-25</t>
        </is>
      </c>
      <c r="X396" t="inlineStr">
        <is>
          <t>1988-01-25</t>
        </is>
      </c>
      <c r="Y396" t="n">
        <v>92</v>
      </c>
      <c r="Z396" t="n">
        <v>70</v>
      </c>
      <c r="AA396" t="n">
        <v>74</v>
      </c>
      <c r="AB396" t="n">
        <v>1</v>
      </c>
      <c r="AC396" t="n">
        <v>1</v>
      </c>
      <c r="AD396" t="n">
        <v>0</v>
      </c>
      <c r="AE396" t="n">
        <v>0</v>
      </c>
      <c r="AF396" t="n">
        <v>0</v>
      </c>
      <c r="AG396" t="n">
        <v>0</v>
      </c>
      <c r="AH396" t="n">
        <v>0</v>
      </c>
      <c r="AI396" t="n">
        <v>0</v>
      </c>
      <c r="AJ396" t="n">
        <v>0</v>
      </c>
      <c r="AK396" t="n">
        <v>0</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HYPERLINK("https://creighton-primo.hosted.exlibrisgroup.com/primo-explore/search?tab=default_tab&amp;search_scope=EVERYTHING&amp;vid=01CRU&amp;lang=en_US&amp;offset=0&amp;query=any,contains,991000906199702656","Catalog Record")</f>
        <v/>
      </c>
      <c r="AT396">
        <f>HYPERLINK("http://www.worldcat.org/oclc/6087508","WorldCat Record")</f>
        <v/>
      </c>
      <c r="AU396" t="inlineStr">
        <is>
          <t>21014058:eng</t>
        </is>
      </c>
      <c r="AV396" t="inlineStr">
        <is>
          <t>6087508</t>
        </is>
      </c>
      <c r="AW396" t="inlineStr">
        <is>
          <t>991000906199702656</t>
        </is>
      </c>
      <c r="AX396" t="inlineStr">
        <is>
          <t>991000906199702656</t>
        </is>
      </c>
      <c r="AY396" t="inlineStr">
        <is>
          <t>2260972630002656</t>
        </is>
      </c>
      <c r="AZ396" t="inlineStr">
        <is>
          <t>BOOK</t>
        </is>
      </c>
      <c r="BB396" t="inlineStr">
        <is>
          <t>9780683043532</t>
        </is>
      </c>
      <c r="BC396" t="inlineStr">
        <is>
          <t>30001000176935</t>
        </is>
      </c>
      <c r="BD396" t="inlineStr">
        <is>
          <t>893278454</t>
        </is>
      </c>
    </row>
    <row r="397">
      <c r="A397" t="inlineStr">
        <is>
          <t>No</t>
        </is>
      </c>
      <c r="B397" t="inlineStr">
        <is>
          <t>QU 141 P9662 1994</t>
        </is>
      </c>
      <c r="C397" t="inlineStr">
        <is>
          <t>0                      QU 0141000P  9662        1994</t>
        </is>
      </c>
      <c r="D397" t="inlineStr">
        <is>
          <t>Protein kinases / edited by James Robert Woodgett.</t>
        </is>
      </c>
      <c r="F397" t="inlineStr">
        <is>
          <t>No</t>
        </is>
      </c>
      <c r="G397" t="inlineStr">
        <is>
          <t>1</t>
        </is>
      </c>
      <c r="H397" t="inlineStr">
        <is>
          <t>No</t>
        </is>
      </c>
      <c r="I397" t="inlineStr">
        <is>
          <t>No</t>
        </is>
      </c>
      <c r="J397" t="inlineStr">
        <is>
          <t>0</t>
        </is>
      </c>
      <c r="L397" t="inlineStr">
        <is>
          <t>Oxford ; New York : IRL Press at Oxford University Press, c1994.</t>
        </is>
      </c>
      <c r="M397" t="inlineStr">
        <is>
          <t>1994</t>
        </is>
      </c>
      <c r="O397" t="inlineStr">
        <is>
          <t>eng</t>
        </is>
      </c>
      <c r="P397" t="inlineStr">
        <is>
          <t>nyu</t>
        </is>
      </c>
      <c r="Q397" t="inlineStr">
        <is>
          <t>Frontiers in molecular biology</t>
        </is>
      </c>
      <c r="R397" t="inlineStr">
        <is>
          <t xml:space="preserve">QU </t>
        </is>
      </c>
      <c r="S397" t="n">
        <v>9</v>
      </c>
      <c r="T397" t="n">
        <v>9</v>
      </c>
      <c r="U397" t="inlineStr">
        <is>
          <t>1998-10-14</t>
        </is>
      </c>
      <c r="V397" t="inlineStr">
        <is>
          <t>1998-10-14</t>
        </is>
      </c>
      <c r="W397" t="inlineStr">
        <is>
          <t>1997-10-31</t>
        </is>
      </c>
      <c r="X397" t="inlineStr">
        <is>
          <t>1997-10-31</t>
        </is>
      </c>
      <c r="Y397" t="n">
        <v>239</v>
      </c>
      <c r="Z397" t="n">
        <v>160</v>
      </c>
      <c r="AA397" t="n">
        <v>167</v>
      </c>
      <c r="AB397" t="n">
        <v>1</v>
      </c>
      <c r="AC397" t="n">
        <v>1</v>
      </c>
      <c r="AD397" t="n">
        <v>5</v>
      </c>
      <c r="AE397" t="n">
        <v>5</v>
      </c>
      <c r="AF397" t="n">
        <v>2</v>
      </c>
      <c r="AG397" t="n">
        <v>2</v>
      </c>
      <c r="AH397" t="n">
        <v>1</v>
      </c>
      <c r="AI397" t="n">
        <v>1</v>
      </c>
      <c r="AJ397" t="n">
        <v>4</v>
      </c>
      <c r="AK397" t="n">
        <v>4</v>
      </c>
      <c r="AL397" t="n">
        <v>0</v>
      </c>
      <c r="AM397" t="n">
        <v>0</v>
      </c>
      <c r="AN397" t="n">
        <v>0</v>
      </c>
      <c r="AO397" t="n">
        <v>0</v>
      </c>
      <c r="AP397" t="inlineStr">
        <is>
          <t>No</t>
        </is>
      </c>
      <c r="AQ397" t="inlineStr">
        <is>
          <t>Yes</t>
        </is>
      </c>
      <c r="AR397">
        <f>HYPERLINK("http://catalog.hathitrust.org/Record/002966301","HathiTrust Record")</f>
        <v/>
      </c>
      <c r="AS397">
        <f>HYPERLINK("https://creighton-primo.hosted.exlibrisgroup.com/primo-explore/search?tab=default_tab&amp;search_scope=EVERYTHING&amp;vid=01CRU&amp;lang=en_US&amp;offset=0&amp;query=any,contains,991001198509702656","Catalog Record")</f>
        <v/>
      </c>
      <c r="AT397">
        <f>HYPERLINK("http://www.worldcat.org/oclc/30666901","WorldCat Record")</f>
        <v/>
      </c>
      <c r="AU397" t="inlineStr">
        <is>
          <t>2763726159:eng</t>
        </is>
      </c>
      <c r="AV397" t="inlineStr">
        <is>
          <t>30666901</t>
        </is>
      </c>
      <c r="AW397" t="inlineStr">
        <is>
          <t>991001198509702656</t>
        </is>
      </c>
      <c r="AX397" t="inlineStr">
        <is>
          <t>991001198509702656</t>
        </is>
      </c>
      <c r="AY397" t="inlineStr">
        <is>
          <t>2267648520002656</t>
        </is>
      </c>
      <c r="AZ397" t="inlineStr">
        <is>
          <t>BOOK</t>
        </is>
      </c>
      <c r="BB397" t="inlineStr">
        <is>
          <t>9780199634088</t>
        </is>
      </c>
      <c r="BC397" t="inlineStr">
        <is>
          <t>30001003653559</t>
        </is>
      </c>
      <c r="BD397" t="inlineStr">
        <is>
          <t>893374338</t>
        </is>
      </c>
    </row>
    <row r="398">
      <c r="A398" t="inlineStr">
        <is>
          <t>No</t>
        </is>
      </c>
      <c r="B398" t="inlineStr">
        <is>
          <t>QU 143 M939 1985</t>
        </is>
      </c>
      <c r="C398" t="inlineStr">
        <is>
          <t>0                      QU 0143000M  939         1985</t>
        </is>
      </c>
      <c r="D398" t="inlineStr">
        <is>
          <t>MPTP, a neurotoxin producing a Parkinsonian syndrome / edited by Sanford P. Markey ... [et al.].</t>
        </is>
      </c>
      <c r="F398" t="inlineStr">
        <is>
          <t>No</t>
        </is>
      </c>
      <c r="G398" t="inlineStr">
        <is>
          <t>1</t>
        </is>
      </c>
      <c r="H398" t="inlineStr">
        <is>
          <t>No</t>
        </is>
      </c>
      <c r="I398" t="inlineStr">
        <is>
          <t>No</t>
        </is>
      </c>
      <c r="J398" t="inlineStr">
        <is>
          <t>0</t>
        </is>
      </c>
      <c r="L398" t="inlineStr">
        <is>
          <t>Orlando : Academic Press, c1986.</t>
        </is>
      </c>
      <c r="M398" t="inlineStr">
        <is>
          <t>1986</t>
        </is>
      </c>
      <c r="O398" t="inlineStr">
        <is>
          <t>eng</t>
        </is>
      </c>
      <c r="P398" t="inlineStr">
        <is>
          <t>xxu</t>
        </is>
      </c>
      <c r="R398" t="inlineStr">
        <is>
          <t xml:space="preserve">QU </t>
        </is>
      </c>
      <c r="S398" t="n">
        <v>2</v>
      </c>
      <c r="T398" t="n">
        <v>2</v>
      </c>
      <c r="U398" t="inlineStr">
        <is>
          <t>1989-05-09</t>
        </is>
      </c>
      <c r="V398" t="inlineStr">
        <is>
          <t>1989-05-09</t>
        </is>
      </c>
      <c r="W398" t="inlineStr">
        <is>
          <t>1988-01-25</t>
        </is>
      </c>
      <c r="X398" t="inlineStr">
        <is>
          <t>1988-01-25</t>
        </is>
      </c>
      <c r="Y398" t="n">
        <v>139</v>
      </c>
      <c r="Z398" t="n">
        <v>113</v>
      </c>
      <c r="AA398" t="n">
        <v>115</v>
      </c>
      <c r="AB398" t="n">
        <v>2</v>
      </c>
      <c r="AC398" t="n">
        <v>2</v>
      </c>
      <c r="AD398" t="n">
        <v>6</v>
      </c>
      <c r="AE398" t="n">
        <v>6</v>
      </c>
      <c r="AF398" t="n">
        <v>2</v>
      </c>
      <c r="AG398" t="n">
        <v>2</v>
      </c>
      <c r="AH398" t="n">
        <v>1</v>
      </c>
      <c r="AI398" t="n">
        <v>1</v>
      </c>
      <c r="AJ398" t="n">
        <v>3</v>
      </c>
      <c r="AK398" t="n">
        <v>3</v>
      </c>
      <c r="AL398" t="n">
        <v>1</v>
      </c>
      <c r="AM398" t="n">
        <v>1</v>
      </c>
      <c r="AN398" t="n">
        <v>0</v>
      </c>
      <c r="AO398" t="n">
        <v>0</v>
      </c>
      <c r="AP398" t="inlineStr">
        <is>
          <t>No</t>
        </is>
      </c>
      <c r="AQ398" t="inlineStr">
        <is>
          <t>Yes</t>
        </is>
      </c>
      <c r="AR398">
        <f>HYPERLINK("http://catalog.hathitrust.org/Record/000437399","HathiTrust Record")</f>
        <v/>
      </c>
      <c r="AS398">
        <f>HYPERLINK("https://creighton-primo.hosted.exlibrisgroup.com/primo-explore/search?tab=default_tab&amp;search_scope=EVERYTHING&amp;vid=01CRU&amp;lang=en_US&amp;offset=0&amp;query=any,contains,991000906079702656","Catalog Record")</f>
        <v/>
      </c>
      <c r="AT398">
        <f>HYPERLINK("http://www.worldcat.org/oclc/13497234","WorldCat Record")</f>
        <v/>
      </c>
      <c r="AU398" t="inlineStr">
        <is>
          <t>7907444:eng</t>
        </is>
      </c>
      <c r="AV398" t="inlineStr">
        <is>
          <t>13497234</t>
        </is>
      </c>
      <c r="AW398" t="inlineStr">
        <is>
          <t>991000906079702656</t>
        </is>
      </c>
      <c r="AX398" t="inlineStr">
        <is>
          <t>991000906079702656</t>
        </is>
      </c>
      <c r="AY398" t="inlineStr">
        <is>
          <t>2261884590002656</t>
        </is>
      </c>
      <c r="AZ398" t="inlineStr">
        <is>
          <t>BOOK</t>
        </is>
      </c>
      <c r="BB398" t="inlineStr">
        <is>
          <t>9780124725706</t>
        </is>
      </c>
      <c r="BC398" t="inlineStr">
        <is>
          <t>30001000176901</t>
        </is>
      </c>
      <c r="BD398" t="inlineStr">
        <is>
          <t>893736034</t>
        </is>
      </c>
    </row>
    <row r="399">
      <c r="A399" t="inlineStr">
        <is>
          <t>No</t>
        </is>
      </c>
      <c r="B399" t="inlineStr">
        <is>
          <t>QU 145 A8379 1988</t>
        </is>
      </c>
      <c r="C399" t="inlineStr">
        <is>
          <t>0                      QU 0145000A  8379        1988</t>
        </is>
      </c>
      <c r="D399" t="inlineStr">
        <is>
          <t>Aspects of human nutrition / volume editor, Geoffrey H. Bourne.</t>
        </is>
      </c>
      <c r="E399" t="inlineStr">
        <is>
          <t>V. 57</t>
        </is>
      </c>
      <c r="F399" t="inlineStr">
        <is>
          <t>No</t>
        </is>
      </c>
      <c r="G399" t="inlineStr">
        <is>
          <t>1</t>
        </is>
      </c>
      <c r="H399" t="inlineStr">
        <is>
          <t>No</t>
        </is>
      </c>
      <c r="I399" t="inlineStr">
        <is>
          <t>No</t>
        </is>
      </c>
      <c r="J399" t="inlineStr">
        <is>
          <t>0</t>
        </is>
      </c>
      <c r="L399" t="inlineStr">
        <is>
          <t>Basel ; New York : Karger, c1988.</t>
        </is>
      </c>
      <c r="M399" t="inlineStr">
        <is>
          <t>1988</t>
        </is>
      </c>
      <c r="O399" t="inlineStr">
        <is>
          <t>eng</t>
        </is>
      </c>
      <c r="P399" t="inlineStr">
        <is>
          <t xml:space="preserve">sz </t>
        </is>
      </c>
      <c r="Q399" t="inlineStr">
        <is>
          <t>World review of nutrition and dietetics ; vol. 57</t>
        </is>
      </c>
      <c r="R399" t="inlineStr">
        <is>
          <t xml:space="preserve">QU </t>
        </is>
      </c>
      <c r="S399" t="n">
        <v>2</v>
      </c>
      <c r="T399" t="n">
        <v>2</v>
      </c>
      <c r="U399" t="inlineStr">
        <is>
          <t>1999-04-13</t>
        </is>
      </c>
      <c r="V399" t="inlineStr">
        <is>
          <t>1999-04-13</t>
        </is>
      </c>
      <c r="W399" t="inlineStr">
        <is>
          <t>1989-02-24</t>
        </is>
      </c>
      <c r="X399" t="inlineStr">
        <is>
          <t>1989-02-24</t>
        </is>
      </c>
      <c r="Y399" t="n">
        <v>124</v>
      </c>
      <c r="Z399" t="n">
        <v>85</v>
      </c>
      <c r="AA399" t="n">
        <v>97</v>
      </c>
      <c r="AB399" t="n">
        <v>2</v>
      </c>
      <c r="AC399" t="n">
        <v>2</v>
      </c>
      <c r="AD399" t="n">
        <v>4</v>
      </c>
      <c r="AE399" t="n">
        <v>4</v>
      </c>
      <c r="AF399" t="n">
        <v>0</v>
      </c>
      <c r="AG399" t="n">
        <v>0</v>
      </c>
      <c r="AH399" t="n">
        <v>3</v>
      </c>
      <c r="AI399" t="n">
        <v>3</v>
      </c>
      <c r="AJ399" t="n">
        <v>1</v>
      </c>
      <c r="AK399" t="n">
        <v>1</v>
      </c>
      <c r="AL399" t="n">
        <v>1</v>
      </c>
      <c r="AM399" t="n">
        <v>1</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HYPERLINK("https://creighton-primo.hosted.exlibrisgroup.com/primo-explore/search?tab=default_tab&amp;search_scope=EVERYTHING&amp;vid=01CRU&amp;lang=en_US&amp;offset=0&amp;query=any,contains,991001240719702656","Catalog Record")</f>
        <v/>
      </c>
      <c r="AT399">
        <f>HYPERLINK("http://www.worldcat.org/oclc/17878387","WorldCat Record")</f>
        <v/>
      </c>
      <c r="AU399" t="inlineStr">
        <is>
          <t>2044288067:eng</t>
        </is>
      </c>
      <c r="AV399" t="inlineStr">
        <is>
          <t>17878387</t>
        </is>
      </c>
      <c r="AW399" t="inlineStr">
        <is>
          <t>991001240719702656</t>
        </is>
      </c>
      <c r="AX399" t="inlineStr">
        <is>
          <t>991001240719702656</t>
        </is>
      </c>
      <c r="AY399" t="inlineStr">
        <is>
          <t>2263518180002656</t>
        </is>
      </c>
      <c r="AZ399" t="inlineStr">
        <is>
          <t>BOOK</t>
        </is>
      </c>
      <c r="BB399" t="inlineStr">
        <is>
          <t>9783805548106</t>
        </is>
      </c>
      <c r="BC399" t="inlineStr">
        <is>
          <t>30001001675554</t>
        </is>
      </c>
      <c r="BD399" t="inlineStr">
        <is>
          <t>893450974</t>
        </is>
      </c>
    </row>
    <row r="400">
      <c r="A400" t="inlineStr">
        <is>
          <t>No</t>
        </is>
      </c>
      <c r="B400" t="inlineStr">
        <is>
          <t>QU145 B3354s 2005</t>
        </is>
      </c>
      <c r="C400" t="inlineStr">
        <is>
          <t>0                      QU 0145000B  3354s       2005</t>
        </is>
      </c>
      <c r="D400" t="inlineStr">
        <is>
          <t>Spanish for the nutrition professional / Peggy A. Batty ; contributing editor, Mary Jo Kurko.</t>
        </is>
      </c>
      <c r="F400" t="inlineStr">
        <is>
          <t>No</t>
        </is>
      </c>
      <c r="G400" t="inlineStr">
        <is>
          <t>1</t>
        </is>
      </c>
      <c r="H400" t="inlineStr">
        <is>
          <t>No</t>
        </is>
      </c>
      <c r="I400" t="inlineStr">
        <is>
          <t>No</t>
        </is>
      </c>
      <c r="J400" t="inlineStr">
        <is>
          <t>0</t>
        </is>
      </c>
      <c r="K400" t="inlineStr">
        <is>
          <t>Durbala, Peggy.</t>
        </is>
      </c>
      <c r="L400" t="inlineStr">
        <is>
          <t>Chicago, Ill. : American Dietetic Association, c2005.</t>
        </is>
      </c>
      <c r="M400" t="inlineStr">
        <is>
          <t>2005</t>
        </is>
      </c>
      <c r="O400" t="inlineStr">
        <is>
          <t>eng</t>
        </is>
      </c>
      <c r="P400" t="inlineStr">
        <is>
          <t>ilu</t>
        </is>
      </c>
      <c r="R400" t="inlineStr">
        <is>
          <t xml:space="preserve">QU </t>
        </is>
      </c>
      <c r="S400" t="n">
        <v>2</v>
      </c>
      <c r="T400" t="n">
        <v>2</v>
      </c>
      <c r="U400" t="inlineStr">
        <is>
          <t>2010-09-15</t>
        </is>
      </c>
      <c r="V400" t="inlineStr">
        <is>
          <t>2010-09-15</t>
        </is>
      </c>
      <c r="W400" t="inlineStr">
        <is>
          <t>2006-04-20</t>
        </is>
      </c>
      <c r="X400" t="inlineStr">
        <is>
          <t>2006-04-20</t>
        </is>
      </c>
      <c r="Y400" t="n">
        <v>33</v>
      </c>
      <c r="Z400" t="n">
        <v>32</v>
      </c>
      <c r="AA400" t="n">
        <v>45</v>
      </c>
      <c r="AB400" t="n">
        <v>1</v>
      </c>
      <c r="AC400" t="n">
        <v>1</v>
      </c>
      <c r="AD400" t="n">
        <v>0</v>
      </c>
      <c r="AE400" t="n">
        <v>0</v>
      </c>
      <c r="AF400" t="n">
        <v>0</v>
      </c>
      <c r="AG400" t="n">
        <v>0</v>
      </c>
      <c r="AH400" t="n">
        <v>0</v>
      </c>
      <c r="AI400" t="n">
        <v>0</v>
      </c>
      <c r="AJ400" t="n">
        <v>0</v>
      </c>
      <c r="AK400" t="n">
        <v>0</v>
      </c>
      <c r="AL400" t="n">
        <v>0</v>
      </c>
      <c r="AM400" t="n">
        <v>0</v>
      </c>
      <c r="AN400" t="n">
        <v>0</v>
      </c>
      <c r="AO400" t="n">
        <v>0</v>
      </c>
      <c r="AP400" t="inlineStr">
        <is>
          <t>No</t>
        </is>
      </c>
      <c r="AQ400" t="inlineStr">
        <is>
          <t>Yes</t>
        </is>
      </c>
      <c r="AR400">
        <f>HYPERLINK("http://catalog.hathitrust.org/Record/010379832","HathiTrust Record")</f>
        <v/>
      </c>
      <c r="AS400">
        <f>HYPERLINK("https://creighton-primo.hosted.exlibrisgroup.com/primo-explore/search?tab=default_tab&amp;search_scope=EVERYTHING&amp;vid=01CRU&amp;lang=en_US&amp;offset=0&amp;query=any,contains,991000475809702656","Catalog Record")</f>
        <v/>
      </c>
      <c r="AT400">
        <f>HYPERLINK("http://www.worldcat.org/oclc/56956432","WorldCat Record")</f>
        <v/>
      </c>
      <c r="AU400" t="inlineStr">
        <is>
          <t>17143620:eng</t>
        </is>
      </c>
      <c r="AV400" t="inlineStr">
        <is>
          <t>56956432</t>
        </is>
      </c>
      <c r="AW400" t="inlineStr">
        <is>
          <t>991000475809702656</t>
        </is>
      </c>
      <c r="AX400" t="inlineStr">
        <is>
          <t>991000475809702656</t>
        </is>
      </c>
      <c r="AY400" t="inlineStr">
        <is>
          <t>2261844300002656</t>
        </is>
      </c>
      <c r="AZ400" t="inlineStr">
        <is>
          <t>BOOK</t>
        </is>
      </c>
      <c r="BB400" t="inlineStr">
        <is>
          <t>9780880914062</t>
        </is>
      </c>
      <c r="BC400" t="inlineStr">
        <is>
          <t>30001004914711</t>
        </is>
      </c>
      <c r="BD400" t="inlineStr">
        <is>
          <t>893741825</t>
        </is>
      </c>
    </row>
    <row r="401">
      <c r="A401" t="inlineStr">
        <is>
          <t>No</t>
        </is>
      </c>
      <c r="B401" t="inlineStr">
        <is>
          <t>QU 145 B6145 1986</t>
        </is>
      </c>
      <c r="C401" t="inlineStr">
        <is>
          <t>0                      QU 0145000B  6145        1986</t>
        </is>
      </c>
      <c r="D401" t="inlineStr">
        <is>
          <t>Biochemistry of hospital nutrition / edited by A.M.J. Woolfson.</t>
        </is>
      </c>
      <c r="E401" t="inlineStr">
        <is>
          <t>V. 4</t>
        </is>
      </c>
      <c r="F401" t="inlineStr">
        <is>
          <t>No</t>
        </is>
      </c>
      <c r="G401" t="inlineStr">
        <is>
          <t>1</t>
        </is>
      </c>
      <c r="H401" t="inlineStr">
        <is>
          <t>No</t>
        </is>
      </c>
      <c r="I401" t="inlineStr">
        <is>
          <t>No</t>
        </is>
      </c>
      <c r="J401" t="inlineStr">
        <is>
          <t>0</t>
        </is>
      </c>
      <c r="L401" t="inlineStr">
        <is>
          <t>Edinburgh ; New York : Churchill Livingstone, 1986.</t>
        </is>
      </c>
      <c r="M401" t="inlineStr">
        <is>
          <t>1986</t>
        </is>
      </c>
      <c r="O401" t="inlineStr">
        <is>
          <t>eng</t>
        </is>
      </c>
      <c r="P401" t="inlineStr">
        <is>
          <t>stk</t>
        </is>
      </c>
      <c r="Q401" t="inlineStr">
        <is>
          <t>Contemporary issues in clinical biochemistry, 0265-6701 ; 4</t>
        </is>
      </c>
      <c r="R401" t="inlineStr">
        <is>
          <t xml:space="preserve">QU </t>
        </is>
      </c>
      <c r="S401" t="n">
        <v>10</v>
      </c>
      <c r="T401" t="n">
        <v>10</v>
      </c>
      <c r="U401" t="inlineStr">
        <is>
          <t>2005-11-07</t>
        </is>
      </c>
      <c r="V401" t="inlineStr">
        <is>
          <t>2005-11-07</t>
        </is>
      </c>
      <c r="W401" t="inlineStr">
        <is>
          <t>1988-01-25</t>
        </is>
      </c>
      <c r="X401" t="inlineStr">
        <is>
          <t>1988-01-25</t>
        </is>
      </c>
      <c r="Y401" t="n">
        <v>109</v>
      </c>
      <c r="Z401" t="n">
        <v>58</v>
      </c>
      <c r="AA401" t="n">
        <v>60</v>
      </c>
      <c r="AB401" t="n">
        <v>1</v>
      </c>
      <c r="AC401" t="n">
        <v>1</v>
      </c>
      <c r="AD401" t="n">
        <v>2</v>
      </c>
      <c r="AE401" t="n">
        <v>2</v>
      </c>
      <c r="AF401" t="n">
        <v>0</v>
      </c>
      <c r="AG401" t="n">
        <v>0</v>
      </c>
      <c r="AH401" t="n">
        <v>2</v>
      </c>
      <c r="AI401" t="n">
        <v>2</v>
      </c>
      <c r="AJ401" t="n">
        <v>0</v>
      </c>
      <c r="AK401" t="n">
        <v>0</v>
      </c>
      <c r="AL401" t="n">
        <v>0</v>
      </c>
      <c r="AM401" t="n">
        <v>0</v>
      </c>
      <c r="AN401" t="n">
        <v>0</v>
      </c>
      <c r="AO401" t="n">
        <v>0</v>
      </c>
      <c r="AP401" t="inlineStr">
        <is>
          <t>No</t>
        </is>
      </c>
      <c r="AQ401" t="inlineStr">
        <is>
          <t>Yes</t>
        </is>
      </c>
      <c r="AR401">
        <f>HYPERLINK("http://catalog.hathitrust.org/Record/000832205","HathiTrust Record")</f>
        <v/>
      </c>
      <c r="AS401">
        <f>HYPERLINK("https://creighton-primo.hosted.exlibrisgroup.com/primo-explore/search?tab=default_tab&amp;search_scope=EVERYTHING&amp;vid=01CRU&amp;lang=en_US&amp;offset=0&amp;query=any,contains,991001265609702656","Catalog Record")</f>
        <v/>
      </c>
      <c r="AT401">
        <f>HYPERLINK("http://www.worldcat.org/oclc/13456294","WorldCat Record")</f>
        <v/>
      </c>
      <c r="AU401" t="inlineStr">
        <is>
          <t>6858639:eng</t>
        </is>
      </c>
      <c r="AV401" t="inlineStr">
        <is>
          <t>13456294</t>
        </is>
      </c>
      <c r="AW401" t="inlineStr">
        <is>
          <t>991001265609702656</t>
        </is>
      </c>
      <c r="AX401" t="inlineStr">
        <is>
          <t>991001265609702656</t>
        </is>
      </c>
      <c r="AY401" t="inlineStr">
        <is>
          <t>2266068540002656</t>
        </is>
      </c>
      <c r="AZ401" t="inlineStr">
        <is>
          <t>BOOK</t>
        </is>
      </c>
      <c r="BB401" t="inlineStr">
        <is>
          <t>9780443029356</t>
        </is>
      </c>
      <c r="BC401" t="inlineStr">
        <is>
          <t>30001000352767</t>
        </is>
      </c>
      <c r="BD401" t="inlineStr">
        <is>
          <t>893358403</t>
        </is>
      </c>
    </row>
    <row r="402">
      <c r="A402" t="inlineStr">
        <is>
          <t>No</t>
        </is>
      </c>
      <c r="B402" t="inlineStr">
        <is>
          <t>QU 145 B786f 1994</t>
        </is>
      </c>
      <c r="C402" t="inlineStr">
        <is>
          <t>0                      QU 0145000B  786f        1994</t>
        </is>
      </c>
      <c r="D402" t="inlineStr">
        <is>
          <t>Bowes and Church's food values of portions commonly used.</t>
        </is>
      </c>
      <c r="F402" t="inlineStr">
        <is>
          <t>No</t>
        </is>
      </c>
      <c r="G402" t="inlineStr">
        <is>
          <t>1</t>
        </is>
      </c>
      <c r="H402" t="inlineStr">
        <is>
          <t>No</t>
        </is>
      </c>
      <c r="I402" t="inlineStr">
        <is>
          <t>Yes</t>
        </is>
      </c>
      <c r="J402" t="inlineStr">
        <is>
          <t>0</t>
        </is>
      </c>
      <c r="K402" t="inlineStr">
        <is>
          <t>Bowes, Anna De Planter.</t>
        </is>
      </c>
      <c r="L402" t="inlineStr">
        <is>
          <t>Philadelphia : J.B. Lippincott, c1994.</t>
        </is>
      </c>
      <c r="M402" t="inlineStr">
        <is>
          <t>1994</t>
        </is>
      </c>
      <c r="N402" t="inlineStr">
        <is>
          <t>16th ed. / revised by Jean A.T. Pennington.</t>
        </is>
      </c>
      <c r="O402" t="inlineStr">
        <is>
          <t>eng</t>
        </is>
      </c>
      <c r="P402" t="inlineStr">
        <is>
          <t>pau</t>
        </is>
      </c>
      <c r="R402" t="inlineStr">
        <is>
          <t xml:space="preserve">QU </t>
        </is>
      </c>
      <c r="S402" t="n">
        <v>30</v>
      </c>
      <c r="T402" t="n">
        <v>30</v>
      </c>
      <c r="U402" t="inlineStr">
        <is>
          <t>2002-04-11</t>
        </is>
      </c>
      <c r="V402" t="inlineStr">
        <is>
          <t>2002-04-11</t>
        </is>
      </c>
      <c r="W402" t="inlineStr">
        <is>
          <t>1993-09-27</t>
        </is>
      </c>
      <c r="X402" t="inlineStr">
        <is>
          <t>1993-09-27</t>
        </is>
      </c>
      <c r="Y402" t="n">
        <v>552</v>
      </c>
      <c r="Z402" t="n">
        <v>514</v>
      </c>
      <c r="AA402" t="n">
        <v>2213</v>
      </c>
      <c r="AB402" t="n">
        <v>3</v>
      </c>
      <c r="AC402" t="n">
        <v>17</v>
      </c>
      <c r="AD402" t="n">
        <v>7</v>
      </c>
      <c r="AE402" t="n">
        <v>38</v>
      </c>
      <c r="AF402" t="n">
        <v>2</v>
      </c>
      <c r="AG402" t="n">
        <v>14</v>
      </c>
      <c r="AH402" t="n">
        <v>2</v>
      </c>
      <c r="AI402" t="n">
        <v>7</v>
      </c>
      <c r="AJ402" t="n">
        <v>3</v>
      </c>
      <c r="AK402" t="n">
        <v>16</v>
      </c>
      <c r="AL402" t="n">
        <v>1</v>
      </c>
      <c r="AM402" t="n">
        <v>7</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HYPERLINK("https://creighton-primo.hosted.exlibrisgroup.com/primo-explore/search?tab=default_tab&amp;search_scope=EVERYTHING&amp;vid=01CRU&amp;lang=en_US&amp;offset=0&amp;query=any,contains,991001486649702656","Catalog Record")</f>
        <v/>
      </c>
      <c r="AT402">
        <f>HYPERLINK("http://www.worldcat.org/oclc/26633680","WorldCat Record")</f>
        <v/>
      </c>
      <c r="AU402" t="inlineStr">
        <is>
          <t>12567099:eng</t>
        </is>
      </c>
      <c r="AV402" t="inlineStr">
        <is>
          <t>26633680</t>
        </is>
      </c>
      <c r="AW402" t="inlineStr">
        <is>
          <t>991001486649702656</t>
        </is>
      </c>
      <c r="AX402" t="inlineStr">
        <is>
          <t>991001486649702656</t>
        </is>
      </c>
      <c r="AY402" t="inlineStr">
        <is>
          <t>2256557670002656</t>
        </is>
      </c>
      <c r="AZ402" t="inlineStr">
        <is>
          <t>BOOK</t>
        </is>
      </c>
      <c r="BB402" t="inlineStr">
        <is>
          <t>9780397548293</t>
        </is>
      </c>
      <c r="BC402" t="inlineStr">
        <is>
          <t>30001002579284</t>
        </is>
      </c>
      <c r="BD402" t="inlineStr">
        <is>
          <t>893162073</t>
        </is>
      </c>
    </row>
    <row r="403">
      <c r="A403" t="inlineStr">
        <is>
          <t>No</t>
        </is>
      </c>
      <c r="B403" t="inlineStr">
        <is>
          <t>QU 145 B792p 1996</t>
        </is>
      </c>
      <c r="C403" t="inlineStr">
        <is>
          <t>0                      QU 0145000B  792p        1996</t>
        </is>
      </c>
      <c r="D403" t="inlineStr">
        <is>
          <t>Personal nutrition / Marie A. Boyle, Gail Zyla.</t>
        </is>
      </c>
      <c r="F403" t="inlineStr">
        <is>
          <t>No</t>
        </is>
      </c>
      <c r="G403" t="inlineStr">
        <is>
          <t>1</t>
        </is>
      </c>
      <c r="H403" t="inlineStr">
        <is>
          <t>No</t>
        </is>
      </c>
      <c r="I403" t="inlineStr">
        <is>
          <t>No</t>
        </is>
      </c>
      <c r="J403" t="inlineStr">
        <is>
          <t>0</t>
        </is>
      </c>
      <c r="K403" t="inlineStr">
        <is>
          <t>Boyle, Marie A. (Marie Ann)</t>
        </is>
      </c>
      <c r="L403" t="inlineStr">
        <is>
          <t>Minneapolis : West Pub. Co., c1996.</t>
        </is>
      </c>
      <c r="M403" t="inlineStr">
        <is>
          <t>1996</t>
        </is>
      </c>
      <c r="N403" t="inlineStr">
        <is>
          <t>3rd ed.</t>
        </is>
      </c>
      <c r="O403" t="inlineStr">
        <is>
          <t>eng</t>
        </is>
      </c>
      <c r="P403" t="inlineStr">
        <is>
          <t>mnu</t>
        </is>
      </c>
      <c r="R403" t="inlineStr">
        <is>
          <t xml:space="preserve">QU </t>
        </is>
      </c>
      <c r="S403" t="n">
        <v>18</v>
      </c>
      <c r="T403" t="n">
        <v>18</v>
      </c>
      <c r="U403" t="inlineStr">
        <is>
          <t>1999-06-19</t>
        </is>
      </c>
      <c r="V403" t="inlineStr">
        <is>
          <t>1999-06-19</t>
        </is>
      </c>
      <c r="W403" t="inlineStr">
        <is>
          <t>1997-01-22</t>
        </is>
      </c>
      <c r="X403" t="inlineStr">
        <is>
          <t>1997-01-22</t>
        </is>
      </c>
      <c r="Y403" t="n">
        <v>90</v>
      </c>
      <c r="Z403" t="n">
        <v>68</v>
      </c>
      <c r="AA403" t="n">
        <v>293</v>
      </c>
      <c r="AB403" t="n">
        <v>1</v>
      </c>
      <c r="AC403" t="n">
        <v>3</v>
      </c>
      <c r="AD403" t="n">
        <v>1</v>
      </c>
      <c r="AE403" t="n">
        <v>7</v>
      </c>
      <c r="AF403" t="n">
        <v>0</v>
      </c>
      <c r="AG403" t="n">
        <v>2</v>
      </c>
      <c r="AH403" t="n">
        <v>1</v>
      </c>
      <c r="AI403" t="n">
        <v>2</v>
      </c>
      <c r="AJ403" t="n">
        <v>0</v>
      </c>
      <c r="AK403" t="n">
        <v>3</v>
      </c>
      <c r="AL403" t="n">
        <v>0</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HYPERLINK("https://creighton-primo.hosted.exlibrisgroup.com/primo-explore/search?tab=default_tab&amp;search_scope=EVERYTHING&amp;vid=01CRU&amp;lang=en_US&amp;offset=0&amp;query=any,contains,991000853329702656","Catalog Record")</f>
        <v/>
      </c>
      <c r="AT403">
        <f>HYPERLINK("http://www.worldcat.org/oclc/33333608","WorldCat Record")</f>
        <v/>
      </c>
      <c r="AU403" t="inlineStr">
        <is>
          <t>11646584:eng</t>
        </is>
      </c>
      <c r="AV403" t="inlineStr">
        <is>
          <t>33333608</t>
        </is>
      </c>
      <c r="AW403" t="inlineStr">
        <is>
          <t>991000853329702656</t>
        </is>
      </c>
      <c r="AX403" t="inlineStr">
        <is>
          <t>991000853329702656</t>
        </is>
      </c>
      <c r="AY403" t="inlineStr">
        <is>
          <t>2259737830002656</t>
        </is>
      </c>
      <c r="AZ403" t="inlineStr">
        <is>
          <t>BOOK</t>
        </is>
      </c>
      <c r="BB403" t="inlineStr">
        <is>
          <t>9780314063809</t>
        </is>
      </c>
      <c r="BC403" t="inlineStr">
        <is>
          <t>30001003474469</t>
        </is>
      </c>
      <c r="BD403" t="inlineStr">
        <is>
          <t>893120584</t>
        </is>
      </c>
    </row>
    <row r="404">
      <c r="A404" t="inlineStr">
        <is>
          <t>No</t>
        </is>
      </c>
      <c r="B404" t="inlineStr">
        <is>
          <t>QU 145 B878n 1995</t>
        </is>
      </c>
      <c r="C404" t="inlineStr">
        <is>
          <t>0                      QU 0145000B  878n        1995</t>
        </is>
      </c>
      <c r="D404" t="inlineStr">
        <is>
          <t>Nutrition now / Judith E. Brown.</t>
        </is>
      </c>
      <c r="F404" t="inlineStr">
        <is>
          <t>No</t>
        </is>
      </c>
      <c r="G404" t="inlineStr">
        <is>
          <t>1</t>
        </is>
      </c>
      <c r="H404" t="inlineStr">
        <is>
          <t>No</t>
        </is>
      </c>
      <c r="I404" t="inlineStr">
        <is>
          <t>No</t>
        </is>
      </c>
      <c r="J404" t="inlineStr">
        <is>
          <t>0</t>
        </is>
      </c>
      <c r="K404" t="inlineStr">
        <is>
          <t>Brown, Judith E.</t>
        </is>
      </c>
      <c r="L404" t="inlineStr">
        <is>
          <t>Minneapolis/St. Paul : West Pub. Co., c1995.</t>
        </is>
      </c>
      <c r="M404" t="inlineStr">
        <is>
          <t>1995</t>
        </is>
      </c>
      <c r="O404" t="inlineStr">
        <is>
          <t>eng</t>
        </is>
      </c>
      <c r="P404" t="inlineStr">
        <is>
          <t>mnu</t>
        </is>
      </c>
      <c r="R404" t="inlineStr">
        <is>
          <t xml:space="preserve">QU </t>
        </is>
      </c>
      <c r="S404" t="n">
        <v>18</v>
      </c>
      <c r="T404" t="n">
        <v>18</v>
      </c>
      <c r="U404" t="inlineStr">
        <is>
          <t>2002-01-10</t>
        </is>
      </c>
      <c r="V404" t="inlineStr">
        <is>
          <t>2002-01-10</t>
        </is>
      </c>
      <c r="W404" t="inlineStr">
        <is>
          <t>1996-01-12</t>
        </is>
      </c>
      <c r="X404" t="inlineStr">
        <is>
          <t>1996-01-12</t>
        </is>
      </c>
      <c r="Y404" t="n">
        <v>56</v>
      </c>
      <c r="Z404" t="n">
        <v>45</v>
      </c>
      <c r="AA404" t="n">
        <v>275</v>
      </c>
      <c r="AB404" t="n">
        <v>1</v>
      </c>
      <c r="AC404" t="n">
        <v>1</v>
      </c>
      <c r="AD404" t="n">
        <v>2</v>
      </c>
      <c r="AE404" t="n">
        <v>6</v>
      </c>
      <c r="AF404" t="n">
        <v>2</v>
      </c>
      <c r="AG404" t="n">
        <v>5</v>
      </c>
      <c r="AH404" t="n">
        <v>0</v>
      </c>
      <c r="AI404" t="n">
        <v>1</v>
      </c>
      <c r="AJ404" t="n">
        <v>0</v>
      </c>
      <c r="AK404" t="n">
        <v>0</v>
      </c>
      <c r="AL404" t="n">
        <v>0</v>
      </c>
      <c r="AM404" t="n">
        <v>0</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HYPERLINK("https://creighton-primo.hosted.exlibrisgroup.com/primo-explore/search?tab=default_tab&amp;search_scope=EVERYTHING&amp;vid=01CRU&amp;lang=en_US&amp;offset=0&amp;query=any,contains,991001502239702656","Catalog Record")</f>
        <v/>
      </c>
      <c r="AT404">
        <f>HYPERLINK("http://www.worldcat.org/oclc/31514475","WorldCat Record")</f>
        <v/>
      </c>
      <c r="AU404" t="inlineStr">
        <is>
          <t>911672:eng</t>
        </is>
      </c>
      <c r="AV404" t="inlineStr">
        <is>
          <t>31514475</t>
        </is>
      </c>
      <c r="AW404" t="inlineStr">
        <is>
          <t>991001502239702656</t>
        </is>
      </c>
      <c r="AX404" t="inlineStr">
        <is>
          <t>991001502239702656</t>
        </is>
      </c>
      <c r="AY404" t="inlineStr">
        <is>
          <t>2269727080002656</t>
        </is>
      </c>
      <c r="AZ404" t="inlineStr">
        <is>
          <t>BOOK</t>
        </is>
      </c>
      <c r="BB404" t="inlineStr">
        <is>
          <t>9780314044471</t>
        </is>
      </c>
      <c r="BC404" t="inlineStr">
        <is>
          <t>30001003262849</t>
        </is>
      </c>
      <c r="BD404" t="inlineStr">
        <is>
          <t>893455859</t>
        </is>
      </c>
    </row>
    <row r="405">
      <c r="A405" t="inlineStr">
        <is>
          <t>No</t>
        </is>
      </c>
      <c r="B405" t="inlineStr">
        <is>
          <t>QU 145 C555n 1988</t>
        </is>
      </c>
      <c r="C405" t="inlineStr">
        <is>
          <t>0                      QU 0145000C  555n        1988</t>
        </is>
      </c>
      <c r="D405" t="inlineStr">
        <is>
          <t>Nutrition for living / Janet L. Christian, Janet L. Greger.</t>
        </is>
      </c>
      <c r="F405" t="inlineStr">
        <is>
          <t>No</t>
        </is>
      </c>
      <c r="G405" t="inlineStr">
        <is>
          <t>1</t>
        </is>
      </c>
      <c r="H405" t="inlineStr">
        <is>
          <t>Yes</t>
        </is>
      </c>
      <c r="I405" t="inlineStr">
        <is>
          <t>No</t>
        </is>
      </c>
      <c r="J405" t="inlineStr">
        <is>
          <t>0</t>
        </is>
      </c>
      <c r="K405" t="inlineStr">
        <is>
          <t>Christian, Janet L.</t>
        </is>
      </c>
      <c r="L405" t="inlineStr">
        <is>
          <t>Menlo Park, Calif. : Benjamin/Cummings Pub. Co., c1988.</t>
        </is>
      </c>
      <c r="M405" t="inlineStr">
        <is>
          <t>1988</t>
        </is>
      </c>
      <c r="N405" t="inlineStr">
        <is>
          <t>2nd ed.</t>
        </is>
      </c>
      <c r="O405" t="inlineStr">
        <is>
          <t>eng</t>
        </is>
      </c>
      <c r="P405" t="inlineStr">
        <is>
          <t>xxu</t>
        </is>
      </c>
      <c r="R405" t="inlineStr">
        <is>
          <t xml:space="preserve">QU </t>
        </is>
      </c>
      <c r="S405" t="n">
        <v>33</v>
      </c>
      <c r="T405" t="n">
        <v>33</v>
      </c>
      <c r="U405" t="inlineStr">
        <is>
          <t>1999-02-12</t>
        </is>
      </c>
      <c r="V405" t="inlineStr">
        <is>
          <t>1999-02-12</t>
        </is>
      </c>
      <c r="W405" t="inlineStr">
        <is>
          <t>1988-06-04</t>
        </is>
      </c>
      <c r="X405" t="inlineStr">
        <is>
          <t>1988-06-04</t>
        </is>
      </c>
      <c r="Y405" t="n">
        <v>117</v>
      </c>
      <c r="Z405" t="n">
        <v>104</v>
      </c>
      <c r="AA405" t="n">
        <v>296</v>
      </c>
      <c r="AB405" t="n">
        <v>1</v>
      </c>
      <c r="AC405" t="n">
        <v>1</v>
      </c>
      <c r="AD405" t="n">
        <v>2</v>
      </c>
      <c r="AE405" t="n">
        <v>10</v>
      </c>
      <c r="AF405" t="n">
        <v>0</v>
      </c>
      <c r="AG405" t="n">
        <v>5</v>
      </c>
      <c r="AH405" t="n">
        <v>1</v>
      </c>
      <c r="AI405" t="n">
        <v>3</v>
      </c>
      <c r="AJ405" t="n">
        <v>2</v>
      </c>
      <c r="AK405" t="n">
        <v>5</v>
      </c>
      <c r="AL405" t="n">
        <v>0</v>
      </c>
      <c r="AM405" t="n">
        <v>0</v>
      </c>
      <c r="AN405" t="n">
        <v>0</v>
      </c>
      <c r="AO405" t="n">
        <v>0</v>
      </c>
      <c r="AP405" t="inlineStr">
        <is>
          <t>No</t>
        </is>
      </c>
      <c r="AQ405" t="inlineStr">
        <is>
          <t>Yes</t>
        </is>
      </c>
      <c r="AR405">
        <f>HYPERLINK("http://catalog.hathitrust.org/Record/004413529","HathiTrust Record")</f>
        <v/>
      </c>
      <c r="AS405">
        <f>HYPERLINK("https://creighton-primo.hosted.exlibrisgroup.com/primo-explore/search?tab=default_tab&amp;search_scope=EVERYTHING&amp;vid=01CRU&amp;lang=en_US&amp;offset=0&amp;query=any,contains,991001326619702656","Catalog Record")</f>
        <v/>
      </c>
      <c r="AT405">
        <f>HYPERLINK("http://www.worldcat.org/oclc/16985738","WorldCat Record")</f>
        <v/>
      </c>
      <c r="AU405" t="inlineStr">
        <is>
          <t>3939439:eng</t>
        </is>
      </c>
      <c r="AV405" t="inlineStr">
        <is>
          <t>16985738</t>
        </is>
      </c>
      <c r="AW405" t="inlineStr">
        <is>
          <t>991001326619702656</t>
        </is>
      </c>
      <c r="AX405" t="inlineStr">
        <is>
          <t>991001326619702656</t>
        </is>
      </c>
      <c r="AY405" t="inlineStr">
        <is>
          <t>2269775520002656</t>
        </is>
      </c>
      <c r="AZ405" t="inlineStr">
        <is>
          <t>BOOK</t>
        </is>
      </c>
      <c r="BB405" t="inlineStr">
        <is>
          <t>9780805320060</t>
        </is>
      </c>
      <c r="BC405" t="inlineStr">
        <is>
          <t>30001001180050</t>
        </is>
      </c>
      <c r="BD405" t="inlineStr">
        <is>
          <t>893736468</t>
        </is>
      </c>
    </row>
    <row r="406">
      <c r="A406" t="inlineStr">
        <is>
          <t>No</t>
        </is>
      </c>
      <c r="B406" t="inlineStr">
        <is>
          <t>QU145 C555N 1988 P2</t>
        </is>
      </c>
      <c r="C406" t="inlineStr">
        <is>
          <t>0                      QU 0145000C  555N        1988   P  2</t>
        </is>
      </c>
      <c r="D406" t="inlineStr">
        <is>
          <t>Nutrition for living / Janet L. Christian, Janet L. Greger.</t>
        </is>
      </c>
      <c r="F406" t="inlineStr">
        <is>
          <t>No</t>
        </is>
      </c>
      <c r="G406" t="inlineStr">
        <is>
          <t>1</t>
        </is>
      </c>
      <c r="H406" t="inlineStr">
        <is>
          <t>Yes</t>
        </is>
      </c>
      <c r="I406" t="inlineStr">
        <is>
          <t>No</t>
        </is>
      </c>
      <c r="J406" t="inlineStr">
        <is>
          <t>0</t>
        </is>
      </c>
      <c r="K406" t="inlineStr">
        <is>
          <t>Christian, Janet L.</t>
        </is>
      </c>
      <c r="L406" t="inlineStr">
        <is>
          <t>Menlo Park, Calif. : Benjamin/Cummings Pub. Co., c1988.</t>
        </is>
      </c>
      <c r="M406" t="inlineStr">
        <is>
          <t>1988</t>
        </is>
      </c>
      <c r="N406" t="inlineStr">
        <is>
          <t>2nd ed.</t>
        </is>
      </c>
      <c r="O406" t="inlineStr">
        <is>
          <t>eng</t>
        </is>
      </c>
      <c r="P406" t="inlineStr">
        <is>
          <t>xxu</t>
        </is>
      </c>
      <c r="R406" t="inlineStr">
        <is>
          <t xml:space="preserve">QU </t>
        </is>
      </c>
      <c r="S406" t="n">
        <v>0</v>
      </c>
      <c r="T406" t="n">
        <v>33</v>
      </c>
      <c r="V406" t="inlineStr">
        <is>
          <t>1999-02-12</t>
        </is>
      </c>
      <c r="W406" t="inlineStr">
        <is>
          <t>1988-06-04</t>
        </is>
      </c>
      <c r="X406" t="inlineStr">
        <is>
          <t>1988-06-04</t>
        </is>
      </c>
      <c r="Y406" t="n">
        <v>117</v>
      </c>
      <c r="Z406" t="n">
        <v>104</v>
      </c>
      <c r="AA406" t="n">
        <v>296</v>
      </c>
      <c r="AB406" t="n">
        <v>1</v>
      </c>
      <c r="AC406" t="n">
        <v>1</v>
      </c>
      <c r="AD406" t="n">
        <v>2</v>
      </c>
      <c r="AE406" t="n">
        <v>10</v>
      </c>
      <c r="AF406" t="n">
        <v>0</v>
      </c>
      <c r="AG406" t="n">
        <v>5</v>
      </c>
      <c r="AH406" t="n">
        <v>1</v>
      </c>
      <c r="AI406" t="n">
        <v>3</v>
      </c>
      <c r="AJ406" t="n">
        <v>2</v>
      </c>
      <c r="AK406" t="n">
        <v>5</v>
      </c>
      <c r="AL406" t="n">
        <v>0</v>
      </c>
      <c r="AM406" t="n">
        <v>0</v>
      </c>
      <c r="AN406" t="n">
        <v>0</v>
      </c>
      <c r="AO406" t="n">
        <v>0</v>
      </c>
      <c r="AP406" t="inlineStr">
        <is>
          <t>No</t>
        </is>
      </c>
      <c r="AQ406" t="inlineStr">
        <is>
          <t>Yes</t>
        </is>
      </c>
      <c r="AR406">
        <f>HYPERLINK("http://catalog.hathitrust.org/Record/004413529","HathiTrust Record")</f>
        <v/>
      </c>
      <c r="AS406">
        <f>HYPERLINK("https://creighton-primo.hosted.exlibrisgroup.com/primo-explore/search?tab=default_tab&amp;search_scope=EVERYTHING&amp;vid=01CRU&amp;lang=en_US&amp;offset=0&amp;query=any,contains,991001326619702656","Catalog Record")</f>
        <v/>
      </c>
      <c r="AT406">
        <f>HYPERLINK("http://www.worldcat.org/oclc/16985738","WorldCat Record")</f>
        <v/>
      </c>
      <c r="AU406" t="inlineStr">
        <is>
          <t>3939439:eng</t>
        </is>
      </c>
      <c r="AV406" t="inlineStr">
        <is>
          <t>16985738</t>
        </is>
      </c>
      <c r="AW406" t="inlineStr">
        <is>
          <t>991001326619702656</t>
        </is>
      </c>
      <c r="AX406" t="inlineStr">
        <is>
          <t>991001326619702656</t>
        </is>
      </c>
      <c r="AY406" t="inlineStr">
        <is>
          <t>2269775520002656</t>
        </is>
      </c>
      <c r="AZ406" t="inlineStr">
        <is>
          <t>BOOK</t>
        </is>
      </c>
      <c r="BB406" t="inlineStr">
        <is>
          <t>9780805320060</t>
        </is>
      </c>
      <c r="BC406" t="inlineStr">
        <is>
          <t>30001001087321</t>
        </is>
      </c>
      <c r="BD406" t="inlineStr">
        <is>
          <t>893736469</t>
        </is>
      </c>
    </row>
    <row r="407">
      <c r="A407" t="inlineStr">
        <is>
          <t>No</t>
        </is>
      </c>
      <c r="B407" t="inlineStr">
        <is>
          <t>QU 145 C58A 1977 Sect.G v.1</t>
        </is>
      </c>
      <c r="C407" t="inlineStr">
        <is>
          <t>0                      QU 0145000C  58A         1977                                        Sect.G v.1</t>
        </is>
      </c>
      <c r="D407" t="inlineStr">
        <is>
          <t>Diets for mammals / Miloslav Rechcigl, Jr. editor-in-chief.</t>
        </is>
      </c>
      <c r="E407" t="inlineStr">
        <is>
          <t>V.1</t>
        </is>
      </c>
      <c r="F407" t="inlineStr">
        <is>
          <t>No</t>
        </is>
      </c>
      <c r="G407" t="inlineStr">
        <is>
          <t>1</t>
        </is>
      </c>
      <c r="H407" t="inlineStr">
        <is>
          <t>No</t>
        </is>
      </c>
      <c r="I407" t="inlineStr">
        <is>
          <t>No</t>
        </is>
      </c>
      <c r="J407" t="inlineStr">
        <is>
          <t>0</t>
        </is>
      </c>
      <c r="L407" t="inlineStr">
        <is>
          <t>Cleveland : CRC Press, c1977.</t>
        </is>
      </c>
      <c r="M407" t="inlineStr">
        <is>
          <t>1977</t>
        </is>
      </c>
      <c r="O407" t="inlineStr">
        <is>
          <t>eng</t>
        </is>
      </c>
      <c r="P407" t="inlineStr">
        <is>
          <t>ohu</t>
        </is>
      </c>
      <c r="Q407" t="inlineStr">
        <is>
          <t>CRC handbook series in nutrition and food : Section G: Diets, culture media, and food supplements ; v. 1</t>
        </is>
      </c>
      <c r="R407" t="inlineStr">
        <is>
          <t xml:space="preserve">QU </t>
        </is>
      </c>
      <c r="S407" t="n">
        <v>3</v>
      </c>
      <c r="T407" t="n">
        <v>3</v>
      </c>
      <c r="U407" t="inlineStr">
        <is>
          <t>2000-01-20</t>
        </is>
      </c>
      <c r="V407" t="inlineStr">
        <is>
          <t>2000-01-20</t>
        </is>
      </c>
      <c r="W407" t="inlineStr">
        <is>
          <t>1987-11-13</t>
        </is>
      </c>
      <c r="X407" t="inlineStr">
        <is>
          <t>1987-11-13</t>
        </is>
      </c>
      <c r="Y407" t="n">
        <v>85</v>
      </c>
      <c r="Z407" t="n">
        <v>69</v>
      </c>
      <c r="AA407" t="n">
        <v>70</v>
      </c>
      <c r="AB407" t="n">
        <v>2</v>
      </c>
      <c r="AC407" t="n">
        <v>2</v>
      </c>
      <c r="AD407" t="n">
        <v>1</v>
      </c>
      <c r="AE407" t="n">
        <v>1</v>
      </c>
      <c r="AF407" t="n">
        <v>0</v>
      </c>
      <c r="AG407" t="n">
        <v>0</v>
      </c>
      <c r="AH407" t="n">
        <v>0</v>
      </c>
      <c r="AI407" t="n">
        <v>0</v>
      </c>
      <c r="AJ407" t="n">
        <v>0</v>
      </c>
      <c r="AK407" t="n">
        <v>0</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HYPERLINK("https://creighton-primo.hosted.exlibrisgroup.com/primo-explore/search?tab=default_tab&amp;search_scope=EVERYTHING&amp;vid=01CRU&amp;lang=en_US&amp;offset=0&amp;query=any,contains,991001281079702656","Catalog Record")</f>
        <v/>
      </c>
      <c r="AT407">
        <f>HYPERLINK("http://www.worldcat.org/oclc/18292316","WorldCat Record")</f>
        <v/>
      </c>
      <c r="AU407" t="inlineStr">
        <is>
          <t>508419:eng</t>
        </is>
      </c>
      <c r="AV407" t="inlineStr">
        <is>
          <t>18292316</t>
        </is>
      </c>
      <c r="AW407" t="inlineStr">
        <is>
          <t>991001281079702656</t>
        </is>
      </c>
      <c r="AX407" t="inlineStr">
        <is>
          <t>991001281079702656</t>
        </is>
      </c>
      <c r="AY407" t="inlineStr">
        <is>
          <t>22101749380002656</t>
        </is>
      </c>
      <c r="AZ407" t="inlineStr">
        <is>
          <t>BOOK</t>
        </is>
      </c>
      <c r="BB407" t="inlineStr">
        <is>
          <t>9780849327360</t>
        </is>
      </c>
      <c r="BC407" t="inlineStr">
        <is>
          <t>30001000367989</t>
        </is>
      </c>
      <c r="BD407" t="inlineStr">
        <is>
          <t>893541206</t>
        </is>
      </c>
    </row>
    <row r="408">
      <c r="A408" t="inlineStr">
        <is>
          <t>No</t>
        </is>
      </c>
      <c r="B408" t="inlineStr">
        <is>
          <t>QU145 G3697 1999</t>
        </is>
      </c>
      <c r="C408" t="inlineStr">
        <is>
          <t>0                      QU 0145000G  3697        1999</t>
        </is>
      </c>
      <c r="D408" t="inlineStr">
        <is>
          <t>Geriatric nutrition : the health professional's handbook / [edited by] Ronni Chernoff.</t>
        </is>
      </c>
      <c r="F408" t="inlineStr">
        <is>
          <t>No</t>
        </is>
      </c>
      <c r="G408" t="inlineStr">
        <is>
          <t>1</t>
        </is>
      </c>
      <c r="H408" t="inlineStr">
        <is>
          <t>No</t>
        </is>
      </c>
      <c r="I408" t="inlineStr">
        <is>
          <t>Yes</t>
        </is>
      </c>
      <c r="J408" t="inlineStr">
        <is>
          <t>0</t>
        </is>
      </c>
      <c r="L408" t="inlineStr">
        <is>
          <t>Gaithersburg, Md. : Aspen Publishers, 1999.</t>
        </is>
      </c>
      <c r="M408" t="inlineStr">
        <is>
          <t>1999</t>
        </is>
      </c>
      <c r="N408" t="inlineStr">
        <is>
          <t>2nd ed.</t>
        </is>
      </c>
      <c r="O408" t="inlineStr">
        <is>
          <t>eng</t>
        </is>
      </c>
      <c r="P408" t="inlineStr">
        <is>
          <t>mdu</t>
        </is>
      </c>
      <c r="R408" t="inlineStr">
        <is>
          <t xml:space="preserve">QU </t>
        </is>
      </c>
      <c r="S408" t="n">
        <v>0</v>
      </c>
      <c r="T408" t="n">
        <v>0</v>
      </c>
      <c r="U408" t="inlineStr">
        <is>
          <t>2002-10-17</t>
        </is>
      </c>
      <c r="V408" t="inlineStr">
        <is>
          <t>2002-10-17</t>
        </is>
      </c>
      <c r="W408" t="inlineStr">
        <is>
          <t>2002-06-26</t>
        </is>
      </c>
      <c r="X408" t="inlineStr">
        <is>
          <t>2002-06-26</t>
        </is>
      </c>
      <c r="Y408" t="n">
        <v>272</v>
      </c>
      <c r="Z408" t="n">
        <v>226</v>
      </c>
      <c r="AA408" t="n">
        <v>678</v>
      </c>
      <c r="AB408" t="n">
        <v>2</v>
      </c>
      <c r="AC408" t="n">
        <v>4</v>
      </c>
      <c r="AD408" t="n">
        <v>6</v>
      </c>
      <c r="AE408" t="n">
        <v>22</v>
      </c>
      <c r="AF408" t="n">
        <v>0</v>
      </c>
      <c r="AG408" t="n">
        <v>8</v>
      </c>
      <c r="AH408" t="n">
        <v>2</v>
      </c>
      <c r="AI408" t="n">
        <v>5</v>
      </c>
      <c r="AJ408" t="n">
        <v>4</v>
      </c>
      <c r="AK408" t="n">
        <v>9</v>
      </c>
      <c r="AL408" t="n">
        <v>1</v>
      </c>
      <c r="AM408" t="n">
        <v>3</v>
      </c>
      <c r="AN408" t="n">
        <v>0</v>
      </c>
      <c r="AO408" t="n">
        <v>0</v>
      </c>
      <c r="AP408" t="inlineStr">
        <is>
          <t>No</t>
        </is>
      </c>
      <c r="AQ408" t="inlineStr">
        <is>
          <t>Yes</t>
        </is>
      </c>
      <c r="AR408">
        <f>HYPERLINK("http://catalog.hathitrust.org/Record/004035560","HathiTrust Record")</f>
        <v/>
      </c>
      <c r="AS408">
        <f>HYPERLINK("https://creighton-primo.hosted.exlibrisgroup.com/primo-explore/search?tab=default_tab&amp;search_scope=EVERYTHING&amp;vid=01CRU&amp;lang=en_US&amp;offset=0&amp;query=any,contains,991000318389702656","Catalog Record")</f>
        <v/>
      </c>
      <c r="AT408">
        <f>HYPERLINK("http://www.worldcat.org/oclc/40939934","WorldCat Record")</f>
        <v/>
      </c>
      <c r="AU408" t="inlineStr">
        <is>
          <t>911693306:eng</t>
        </is>
      </c>
      <c r="AV408" t="inlineStr">
        <is>
          <t>40939934</t>
        </is>
      </c>
      <c r="AW408" t="inlineStr">
        <is>
          <t>991000318389702656</t>
        </is>
      </c>
      <c r="AX408" t="inlineStr">
        <is>
          <t>991000318389702656</t>
        </is>
      </c>
      <c r="AY408" t="inlineStr">
        <is>
          <t>2254869170002656</t>
        </is>
      </c>
      <c r="AZ408" t="inlineStr">
        <is>
          <t>BOOK</t>
        </is>
      </c>
      <c r="BB408" t="inlineStr">
        <is>
          <t>9780834210820</t>
        </is>
      </c>
      <c r="BC408" t="inlineStr">
        <is>
          <t>30001004239747</t>
        </is>
      </c>
      <c r="BD408" t="inlineStr">
        <is>
          <t>893822050</t>
        </is>
      </c>
    </row>
    <row r="409">
      <c r="A409" t="inlineStr">
        <is>
          <t>No</t>
        </is>
      </c>
      <c r="B409" t="inlineStr">
        <is>
          <t>QU 145 G381t 1990</t>
        </is>
      </c>
      <c r="C409" t="inlineStr">
        <is>
          <t>0                      QU 0145000G  381t        1990</t>
        </is>
      </c>
      <c r="D409" t="inlineStr">
        <is>
          <t>The Tufts University guide to total nutrition / Stanley Gershoff, with Catherine Whitney and the editorial advisory board of the Tufts University diet &amp; nutrition letter ; foreword by Jean Mayer.</t>
        </is>
      </c>
      <c r="F409" t="inlineStr">
        <is>
          <t>No</t>
        </is>
      </c>
      <c r="G409" t="inlineStr">
        <is>
          <t>1</t>
        </is>
      </c>
      <c r="H409" t="inlineStr">
        <is>
          <t>No</t>
        </is>
      </c>
      <c r="I409" t="inlineStr">
        <is>
          <t>No</t>
        </is>
      </c>
      <c r="J409" t="inlineStr">
        <is>
          <t>0</t>
        </is>
      </c>
      <c r="K409" t="inlineStr">
        <is>
          <t>Gershoff, Stanley N.</t>
        </is>
      </c>
      <c r="L409" t="inlineStr">
        <is>
          <t>New York : Harper &amp; Row, c1990.</t>
        </is>
      </c>
      <c r="M409" t="inlineStr">
        <is>
          <t>1990</t>
        </is>
      </c>
      <c r="N409" t="inlineStr">
        <is>
          <t>1st ed.</t>
        </is>
      </c>
      <c r="O409" t="inlineStr">
        <is>
          <t>eng</t>
        </is>
      </c>
      <c r="P409" t="inlineStr">
        <is>
          <t>xxu</t>
        </is>
      </c>
      <c r="R409" t="inlineStr">
        <is>
          <t xml:space="preserve">QU </t>
        </is>
      </c>
      <c r="S409" t="n">
        <v>13</v>
      </c>
      <c r="T409" t="n">
        <v>13</v>
      </c>
      <c r="U409" t="inlineStr">
        <is>
          <t>2001-02-26</t>
        </is>
      </c>
      <c r="V409" t="inlineStr">
        <is>
          <t>2001-02-26</t>
        </is>
      </c>
      <c r="W409" t="inlineStr">
        <is>
          <t>1992-01-31</t>
        </is>
      </c>
      <c r="X409" t="inlineStr">
        <is>
          <t>1992-01-31</t>
        </is>
      </c>
      <c r="Y409" t="n">
        <v>539</v>
      </c>
      <c r="Z409" t="n">
        <v>520</v>
      </c>
      <c r="AA409" t="n">
        <v>702</v>
      </c>
      <c r="AB409" t="n">
        <v>6</v>
      </c>
      <c r="AC409" t="n">
        <v>7</v>
      </c>
      <c r="AD409" t="n">
        <v>10</v>
      </c>
      <c r="AE409" t="n">
        <v>12</v>
      </c>
      <c r="AF409" t="n">
        <v>2</v>
      </c>
      <c r="AG409" t="n">
        <v>3</v>
      </c>
      <c r="AH409" t="n">
        <v>2</v>
      </c>
      <c r="AI409" t="n">
        <v>2</v>
      </c>
      <c r="AJ409" t="n">
        <v>2</v>
      </c>
      <c r="AK409" t="n">
        <v>4</v>
      </c>
      <c r="AL409" t="n">
        <v>4</v>
      </c>
      <c r="AM409" t="n">
        <v>4</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HYPERLINK("https://creighton-primo.hosted.exlibrisgroup.com/primo-explore/search?tab=default_tab&amp;search_scope=EVERYTHING&amp;vid=01CRU&amp;lang=en_US&amp;offset=0&amp;query=any,contains,991001031479702656","Catalog Record")</f>
        <v/>
      </c>
      <c r="AT409">
        <f>HYPERLINK("http://www.worldcat.org/oclc/21043110","WorldCat Record")</f>
        <v/>
      </c>
      <c r="AU409" t="inlineStr">
        <is>
          <t>26666749:eng</t>
        </is>
      </c>
      <c r="AV409" t="inlineStr">
        <is>
          <t>21043110</t>
        </is>
      </c>
      <c r="AW409" t="inlineStr">
        <is>
          <t>991001031479702656</t>
        </is>
      </c>
      <c r="AX409" t="inlineStr">
        <is>
          <t>991001031479702656</t>
        </is>
      </c>
      <c r="AY409" t="inlineStr">
        <is>
          <t>2271126870002656</t>
        </is>
      </c>
      <c r="AZ409" t="inlineStr">
        <is>
          <t>BOOK</t>
        </is>
      </c>
      <c r="BB409" t="inlineStr">
        <is>
          <t>9780060159184</t>
        </is>
      </c>
      <c r="BC409" t="inlineStr">
        <is>
          <t>30001002243881</t>
        </is>
      </c>
      <c r="BD409" t="inlineStr">
        <is>
          <t>893740687</t>
        </is>
      </c>
    </row>
    <row r="410">
      <c r="A410" t="inlineStr">
        <is>
          <t>No</t>
        </is>
      </c>
      <c r="B410" t="inlineStr">
        <is>
          <t>QU 145 G811n 1987</t>
        </is>
      </c>
      <c r="C410" t="inlineStr">
        <is>
          <t>0                      QU 0145000G  811n        1987</t>
        </is>
      </c>
      <c r="D410" t="inlineStr">
        <is>
          <t>Nutrition in contemporary nursing practice / Marilyn L. Green, Joann Harry.</t>
        </is>
      </c>
      <c r="F410" t="inlineStr">
        <is>
          <t>No</t>
        </is>
      </c>
      <c r="G410" t="inlineStr">
        <is>
          <t>1</t>
        </is>
      </c>
      <c r="H410" t="inlineStr">
        <is>
          <t>No</t>
        </is>
      </c>
      <c r="I410" t="inlineStr">
        <is>
          <t>Yes</t>
        </is>
      </c>
      <c r="J410" t="inlineStr">
        <is>
          <t>0</t>
        </is>
      </c>
      <c r="K410" t="inlineStr">
        <is>
          <t>Green, Marilyn L., 1945-</t>
        </is>
      </c>
      <c r="L410" t="inlineStr">
        <is>
          <t>New York : Wiley, c1987.</t>
        </is>
      </c>
      <c r="M410" t="inlineStr">
        <is>
          <t>1987</t>
        </is>
      </c>
      <c r="N410" t="inlineStr">
        <is>
          <t>2nd ed.</t>
        </is>
      </c>
      <c r="O410" t="inlineStr">
        <is>
          <t>eng</t>
        </is>
      </c>
      <c r="P410" t="inlineStr">
        <is>
          <t>xxu</t>
        </is>
      </c>
      <c r="R410" t="inlineStr">
        <is>
          <t xml:space="preserve">QU </t>
        </is>
      </c>
      <c r="S410" t="n">
        <v>11</v>
      </c>
      <c r="T410" t="n">
        <v>11</v>
      </c>
      <c r="U410" t="inlineStr">
        <is>
          <t>1990-08-04</t>
        </is>
      </c>
      <c r="V410" t="inlineStr">
        <is>
          <t>1990-08-04</t>
        </is>
      </c>
      <c r="W410" t="inlineStr">
        <is>
          <t>1987-08-27</t>
        </is>
      </c>
      <c r="X410" t="inlineStr">
        <is>
          <t>1987-08-27</t>
        </is>
      </c>
      <c r="Y410" t="n">
        <v>194</v>
      </c>
      <c r="Z410" t="n">
        <v>148</v>
      </c>
      <c r="AA410" t="n">
        <v>248</v>
      </c>
      <c r="AB410" t="n">
        <v>1</v>
      </c>
      <c r="AC410" t="n">
        <v>2</v>
      </c>
      <c r="AD410" t="n">
        <v>5</v>
      </c>
      <c r="AE410" t="n">
        <v>8</v>
      </c>
      <c r="AF410" t="n">
        <v>1</v>
      </c>
      <c r="AG410" t="n">
        <v>1</v>
      </c>
      <c r="AH410" t="n">
        <v>1</v>
      </c>
      <c r="AI410" t="n">
        <v>1</v>
      </c>
      <c r="AJ410" t="n">
        <v>3</v>
      </c>
      <c r="AK410" t="n">
        <v>5</v>
      </c>
      <c r="AL410" t="n">
        <v>0</v>
      </c>
      <c r="AM410" t="n">
        <v>1</v>
      </c>
      <c r="AN410" t="n">
        <v>0</v>
      </c>
      <c r="AO410" t="n">
        <v>0</v>
      </c>
      <c r="AP410" t="inlineStr">
        <is>
          <t>No</t>
        </is>
      </c>
      <c r="AQ410" t="inlineStr">
        <is>
          <t>Yes</t>
        </is>
      </c>
      <c r="AR410">
        <f>HYPERLINK("http://catalog.hathitrust.org/Record/000815981","HathiTrust Record")</f>
        <v/>
      </c>
      <c r="AS410">
        <f>HYPERLINK("https://creighton-primo.hosted.exlibrisgroup.com/primo-explore/search?tab=default_tab&amp;search_scope=EVERYTHING&amp;vid=01CRU&amp;lang=en_US&amp;offset=0&amp;query=any,contains,991000763049702656","Catalog Record")</f>
        <v/>
      </c>
      <c r="AT410">
        <f>HYPERLINK("http://www.worldcat.org/oclc/14241292","WorldCat Record")</f>
        <v/>
      </c>
      <c r="AU410" t="inlineStr">
        <is>
          <t>9036461:eng</t>
        </is>
      </c>
      <c r="AV410" t="inlineStr">
        <is>
          <t>14241292</t>
        </is>
      </c>
      <c r="AW410" t="inlineStr">
        <is>
          <t>991000763049702656</t>
        </is>
      </c>
      <c r="AX410" t="inlineStr">
        <is>
          <t>991000763049702656</t>
        </is>
      </c>
      <c r="AY410" t="inlineStr">
        <is>
          <t>2267006160002656</t>
        </is>
      </c>
      <c r="AZ410" t="inlineStr">
        <is>
          <t>BOOK</t>
        </is>
      </c>
      <c r="BB410" t="inlineStr">
        <is>
          <t>9780471824688</t>
        </is>
      </c>
      <c r="BC410" t="inlineStr">
        <is>
          <t>30001000056541</t>
        </is>
      </c>
      <c r="BD410" t="inlineStr">
        <is>
          <t>893651553</t>
        </is>
      </c>
    </row>
    <row r="411">
      <c r="A411" t="inlineStr">
        <is>
          <t>No</t>
        </is>
      </c>
      <c r="B411" t="inlineStr">
        <is>
          <t>QU 145 H217n 1988</t>
        </is>
      </c>
      <c r="C411" t="inlineStr">
        <is>
          <t>0                      QU 0145000H  217n        1988</t>
        </is>
      </c>
      <c r="D411" t="inlineStr">
        <is>
          <t>Nutrition : concepts and controversies / Eva May Nunnelley Hamilton, Eleanor Noss Whitney, Frances Sienkiewicz Sizer.</t>
        </is>
      </c>
      <c r="F411" t="inlineStr">
        <is>
          <t>No</t>
        </is>
      </c>
      <c r="G411" t="inlineStr">
        <is>
          <t>1</t>
        </is>
      </c>
      <c r="H411" t="inlineStr">
        <is>
          <t>No</t>
        </is>
      </c>
      <c r="I411" t="inlineStr">
        <is>
          <t>Yes</t>
        </is>
      </c>
      <c r="J411" t="inlineStr">
        <is>
          <t>0</t>
        </is>
      </c>
      <c r="K411" t="inlineStr">
        <is>
          <t>Hamilton, Eva May Nunnelley.</t>
        </is>
      </c>
      <c r="L411" t="inlineStr">
        <is>
          <t>St. Paul : West Pub. Co, c1988.</t>
        </is>
      </c>
      <c r="M411" t="inlineStr">
        <is>
          <t>1988</t>
        </is>
      </c>
      <c r="N411" t="inlineStr">
        <is>
          <t>4th ed. / prepared by Eleanor Noss Whitney, Frances Sienkiewicz Sizer.</t>
        </is>
      </c>
      <c r="O411" t="inlineStr">
        <is>
          <t>eng</t>
        </is>
      </c>
      <c r="P411" t="inlineStr">
        <is>
          <t>mnu</t>
        </is>
      </c>
      <c r="R411" t="inlineStr">
        <is>
          <t xml:space="preserve">QU </t>
        </is>
      </c>
      <c r="S411" t="n">
        <v>47</v>
      </c>
      <c r="T411" t="n">
        <v>47</v>
      </c>
      <c r="U411" t="inlineStr">
        <is>
          <t>2006-12-02</t>
        </is>
      </c>
      <c r="V411" t="inlineStr">
        <is>
          <t>2006-12-02</t>
        </is>
      </c>
      <c r="W411" t="inlineStr">
        <is>
          <t>1989-01-07</t>
        </is>
      </c>
      <c r="X411" t="inlineStr">
        <is>
          <t>1989-01-07</t>
        </is>
      </c>
      <c r="Y411" t="n">
        <v>189</v>
      </c>
      <c r="Z411" t="n">
        <v>150</v>
      </c>
      <c r="AA411" t="n">
        <v>1134</v>
      </c>
      <c r="AB411" t="n">
        <v>3</v>
      </c>
      <c r="AC411" t="n">
        <v>8</v>
      </c>
      <c r="AD411" t="n">
        <v>3</v>
      </c>
      <c r="AE411" t="n">
        <v>28</v>
      </c>
      <c r="AF411" t="n">
        <v>1</v>
      </c>
      <c r="AG411" t="n">
        <v>10</v>
      </c>
      <c r="AH411" t="n">
        <v>0</v>
      </c>
      <c r="AI411" t="n">
        <v>7</v>
      </c>
      <c r="AJ411" t="n">
        <v>1</v>
      </c>
      <c r="AK411" t="n">
        <v>14</v>
      </c>
      <c r="AL411" t="n">
        <v>1</v>
      </c>
      <c r="AM411" t="n">
        <v>5</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HYPERLINK("https://creighton-primo.hosted.exlibrisgroup.com/primo-explore/search?tab=default_tab&amp;search_scope=EVERYTHING&amp;vid=01CRU&amp;lang=en_US&amp;offset=0&amp;query=any,contains,991001107719702656","Catalog Record")</f>
        <v/>
      </c>
      <c r="AT411">
        <f>HYPERLINK("http://www.worldcat.org/oclc/17299152","WorldCat Record")</f>
        <v/>
      </c>
      <c r="AU411" t="inlineStr">
        <is>
          <t>8465713:eng</t>
        </is>
      </c>
      <c r="AV411" t="inlineStr">
        <is>
          <t>17299152</t>
        </is>
      </c>
      <c r="AW411" t="inlineStr">
        <is>
          <t>991001107719702656</t>
        </is>
      </c>
      <c r="AX411" t="inlineStr">
        <is>
          <t>991001107719702656</t>
        </is>
      </c>
      <c r="AY411" t="inlineStr">
        <is>
          <t>2270709620002656</t>
        </is>
      </c>
      <c r="AZ411" t="inlineStr">
        <is>
          <t>BOOK</t>
        </is>
      </c>
      <c r="BB411" t="inlineStr">
        <is>
          <t>9780314597434</t>
        </is>
      </c>
      <c r="BC411" t="inlineStr">
        <is>
          <t>30001001611476</t>
        </is>
      </c>
      <c r="BD411" t="inlineStr">
        <is>
          <t>893740761</t>
        </is>
      </c>
    </row>
    <row r="412">
      <c r="A412" t="inlineStr">
        <is>
          <t>No</t>
        </is>
      </c>
      <c r="B412" t="inlineStr">
        <is>
          <t>QU 145 H462d 1988</t>
        </is>
      </c>
      <c r="C412" t="inlineStr">
        <is>
          <t>0                      QU 0145000H  462d        1988</t>
        </is>
      </c>
      <c r="D412" t="inlineStr">
        <is>
          <t>Decisions in nutrition / Vincent Hagarty ; illustrations by Donald O'Connor.</t>
        </is>
      </c>
      <c r="F412" t="inlineStr">
        <is>
          <t>No</t>
        </is>
      </c>
      <c r="G412" t="inlineStr">
        <is>
          <t>1</t>
        </is>
      </c>
      <c r="H412" t="inlineStr">
        <is>
          <t>No</t>
        </is>
      </c>
      <c r="I412" t="inlineStr">
        <is>
          <t>No</t>
        </is>
      </c>
      <c r="J412" t="inlineStr">
        <is>
          <t>0</t>
        </is>
      </c>
      <c r="K412" t="inlineStr">
        <is>
          <t>Hegarty, Vincent.</t>
        </is>
      </c>
      <c r="L412" t="inlineStr">
        <is>
          <t>St. Louis : Times Mirror/Mosby College Pub., c1988.</t>
        </is>
      </c>
      <c r="M412" t="inlineStr">
        <is>
          <t>1988</t>
        </is>
      </c>
      <c r="O412" t="inlineStr">
        <is>
          <t>eng</t>
        </is>
      </c>
      <c r="P412" t="inlineStr">
        <is>
          <t>mou</t>
        </is>
      </c>
      <c r="R412" t="inlineStr">
        <is>
          <t xml:space="preserve">QU </t>
        </is>
      </c>
      <c r="S412" t="n">
        <v>10</v>
      </c>
      <c r="T412" t="n">
        <v>10</v>
      </c>
      <c r="U412" t="inlineStr">
        <is>
          <t>1999-05-25</t>
        </is>
      </c>
      <c r="V412" t="inlineStr">
        <is>
          <t>1999-05-25</t>
        </is>
      </c>
      <c r="W412" t="inlineStr">
        <is>
          <t>1995-11-15</t>
        </is>
      </c>
      <c r="X412" t="inlineStr">
        <is>
          <t>1995-11-15</t>
        </is>
      </c>
      <c r="Y412" t="n">
        <v>141</v>
      </c>
      <c r="Z412" t="n">
        <v>111</v>
      </c>
      <c r="AA412" t="n">
        <v>118</v>
      </c>
      <c r="AB412" t="n">
        <v>3</v>
      </c>
      <c r="AC412" t="n">
        <v>3</v>
      </c>
      <c r="AD412" t="n">
        <v>4</v>
      </c>
      <c r="AE412" t="n">
        <v>4</v>
      </c>
      <c r="AF412" t="n">
        <v>1</v>
      </c>
      <c r="AG412" t="n">
        <v>1</v>
      </c>
      <c r="AH412" t="n">
        <v>0</v>
      </c>
      <c r="AI412" t="n">
        <v>0</v>
      </c>
      <c r="AJ412" t="n">
        <v>1</v>
      </c>
      <c r="AK412" t="n">
        <v>1</v>
      </c>
      <c r="AL412" t="n">
        <v>2</v>
      </c>
      <c r="AM412" t="n">
        <v>2</v>
      </c>
      <c r="AN412" t="n">
        <v>0</v>
      </c>
      <c r="AO412" t="n">
        <v>0</v>
      </c>
      <c r="AP412" t="inlineStr">
        <is>
          <t>No</t>
        </is>
      </c>
      <c r="AQ412" t="inlineStr">
        <is>
          <t>Yes</t>
        </is>
      </c>
      <c r="AR412">
        <f>HYPERLINK("http://catalog.hathitrust.org/Record/004386446","HathiTrust Record")</f>
        <v/>
      </c>
      <c r="AS412">
        <f>HYPERLINK("https://creighton-primo.hosted.exlibrisgroup.com/primo-explore/search?tab=default_tab&amp;search_scope=EVERYTHING&amp;vid=01CRU&amp;lang=en_US&amp;offset=0&amp;query=any,contains,991001245959702656","Catalog Record")</f>
        <v/>
      </c>
      <c r="AT412">
        <f>HYPERLINK("http://www.worldcat.org/oclc/16682120","WorldCat Record")</f>
        <v/>
      </c>
      <c r="AU412" t="inlineStr">
        <is>
          <t>12601371:eng</t>
        </is>
      </c>
      <c r="AV412" t="inlineStr">
        <is>
          <t>16682120</t>
        </is>
      </c>
      <c r="AW412" t="inlineStr">
        <is>
          <t>991001245959702656</t>
        </is>
      </c>
      <c r="AX412" t="inlineStr">
        <is>
          <t>991001245959702656</t>
        </is>
      </c>
      <c r="AY412" t="inlineStr">
        <is>
          <t>2272132350002656</t>
        </is>
      </c>
      <c r="AZ412" t="inlineStr">
        <is>
          <t>BOOK</t>
        </is>
      </c>
      <c r="BB412" t="inlineStr">
        <is>
          <t>9780801621956</t>
        </is>
      </c>
      <c r="BC412" t="inlineStr">
        <is>
          <t>30001003261718</t>
        </is>
      </c>
      <c r="BD412" t="inlineStr">
        <is>
          <t>893284595</t>
        </is>
      </c>
    </row>
    <row r="413">
      <c r="A413" t="inlineStr">
        <is>
          <t>No</t>
        </is>
      </c>
      <c r="B413" t="inlineStr">
        <is>
          <t>QU 145 H472n 1950</t>
        </is>
      </c>
      <c r="C413" t="inlineStr">
        <is>
          <t>0                      QU 0145000H  472n        1950</t>
        </is>
      </c>
      <c r="D413" t="inlineStr">
        <is>
          <t>Nutritional data : (formerly "Nutritional charts") / Compiled by Harold A. Wooster, Jr., and Fred C. Blanck.</t>
        </is>
      </c>
      <c r="F413" t="inlineStr">
        <is>
          <t>No</t>
        </is>
      </c>
      <c r="G413" t="inlineStr">
        <is>
          <t>1</t>
        </is>
      </c>
      <c r="H413" t="inlineStr">
        <is>
          <t>No</t>
        </is>
      </c>
      <c r="I413" t="inlineStr">
        <is>
          <t>No</t>
        </is>
      </c>
      <c r="J413" t="inlineStr">
        <is>
          <t>0</t>
        </is>
      </c>
      <c r="K413" t="inlineStr">
        <is>
          <t>H.J. Heinz Company. Research Department.</t>
        </is>
      </c>
      <c r="L413" t="inlineStr">
        <is>
          <t>Pittsburgh : H.J. Heinz Co., [c1950].</t>
        </is>
      </c>
      <c r="M413" t="inlineStr">
        <is>
          <t>1950</t>
        </is>
      </c>
      <c r="O413" t="inlineStr">
        <is>
          <t>eng</t>
        </is>
      </c>
      <c r="P413" t="inlineStr">
        <is>
          <t xml:space="preserve">xx </t>
        </is>
      </c>
      <c r="R413" t="inlineStr">
        <is>
          <t xml:space="preserve">QU </t>
        </is>
      </c>
      <c r="S413" t="n">
        <v>2</v>
      </c>
      <c r="T413" t="n">
        <v>2</v>
      </c>
      <c r="U413" t="inlineStr">
        <is>
          <t>1992-03-21</t>
        </is>
      </c>
      <c r="V413" t="inlineStr">
        <is>
          <t>1992-03-21</t>
        </is>
      </c>
      <c r="W413" t="inlineStr">
        <is>
          <t>1988-01-25</t>
        </is>
      </c>
      <c r="X413" t="inlineStr">
        <is>
          <t>1988-01-25</t>
        </is>
      </c>
      <c r="Y413" t="n">
        <v>25</v>
      </c>
      <c r="Z413" t="n">
        <v>23</v>
      </c>
      <c r="AA413" t="n">
        <v>111</v>
      </c>
      <c r="AB413" t="n">
        <v>1</v>
      </c>
      <c r="AC413" t="n">
        <v>2</v>
      </c>
      <c r="AD413" t="n">
        <v>1</v>
      </c>
      <c r="AE413" t="n">
        <v>3</v>
      </c>
      <c r="AF413" t="n">
        <v>0</v>
      </c>
      <c r="AG413" t="n">
        <v>0</v>
      </c>
      <c r="AH413" t="n">
        <v>0</v>
      </c>
      <c r="AI413" t="n">
        <v>0</v>
      </c>
      <c r="AJ413" t="n">
        <v>1</v>
      </c>
      <c r="AK413" t="n">
        <v>2</v>
      </c>
      <c r="AL413" t="n">
        <v>0</v>
      </c>
      <c r="AM413" t="n">
        <v>1</v>
      </c>
      <c r="AN413" t="n">
        <v>0</v>
      </c>
      <c r="AO413" t="n">
        <v>0</v>
      </c>
      <c r="AP413" t="inlineStr">
        <is>
          <t>Yes</t>
        </is>
      </c>
      <c r="AQ413" t="inlineStr">
        <is>
          <t>No</t>
        </is>
      </c>
      <c r="AR413">
        <f>HYPERLINK("http://catalog.hathitrust.org/Record/005078686","HathiTrust Record")</f>
        <v/>
      </c>
      <c r="AS413">
        <f>HYPERLINK("https://creighton-primo.hosted.exlibrisgroup.com/primo-explore/search?tab=default_tab&amp;search_scope=EVERYTHING&amp;vid=01CRU&amp;lang=en_US&amp;offset=0&amp;query=any,contains,991000906509702656","Catalog Record")</f>
        <v/>
      </c>
      <c r="AT413">
        <f>HYPERLINK("http://www.worldcat.org/oclc/3231651","WorldCat Record")</f>
        <v/>
      </c>
      <c r="AU413" t="inlineStr">
        <is>
          <t>1909037229:eng</t>
        </is>
      </c>
      <c r="AV413" t="inlineStr">
        <is>
          <t>3231651</t>
        </is>
      </c>
      <c r="AW413" t="inlineStr">
        <is>
          <t>991000906509702656</t>
        </is>
      </c>
      <c r="AX413" t="inlineStr">
        <is>
          <t>991000906509702656</t>
        </is>
      </c>
      <c r="AY413" t="inlineStr">
        <is>
          <t>2261657310002656</t>
        </is>
      </c>
      <c r="AZ413" t="inlineStr">
        <is>
          <t>BOOK</t>
        </is>
      </c>
      <c r="BC413" t="inlineStr">
        <is>
          <t>30001000177099</t>
        </is>
      </c>
      <c r="BD413" t="inlineStr">
        <is>
          <t>893826170</t>
        </is>
      </c>
    </row>
    <row r="414">
      <c r="A414" t="inlineStr">
        <is>
          <t>No</t>
        </is>
      </c>
      <c r="B414" t="inlineStr">
        <is>
          <t>QU 145 H851n 1982</t>
        </is>
      </c>
      <c r="C414" t="inlineStr">
        <is>
          <t>0                      QU 0145000H  851n        1982</t>
        </is>
      </c>
      <c r="D414" t="inlineStr">
        <is>
          <t>Nutrition in clinical care / Rosanne Beatrice Howard, Nancie Harvey Herbold.</t>
        </is>
      </c>
      <c r="F414" t="inlineStr">
        <is>
          <t>No</t>
        </is>
      </c>
      <c r="G414" t="inlineStr">
        <is>
          <t>1</t>
        </is>
      </c>
      <c r="H414" t="inlineStr">
        <is>
          <t>No</t>
        </is>
      </c>
      <c r="I414" t="inlineStr">
        <is>
          <t>No</t>
        </is>
      </c>
      <c r="J414" t="inlineStr">
        <is>
          <t>0</t>
        </is>
      </c>
      <c r="K414" t="inlineStr">
        <is>
          <t>Howard, Rosanne Beatrice.</t>
        </is>
      </c>
      <c r="L414" t="inlineStr">
        <is>
          <t>New York : McGraw-Hill, c1982.</t>
        </is>
      </c>
      <c r="M414" t="inlineStr">
        <is>
          <t>1982</t>
        </is>
      </c>
      <c r="N414" t="inlineStr">
        <is>
          <t>2nd ed.</t>
        </is>
      </c>
      <c r="O414" t="inlineStr">
        <is>
          <t>eng</t>
        </is>
      </c>
      <c r="P414" t="inlineStr">
        <is>
          <t>xxu</t>
        </is>
      </c>
      <c r="R414" t="inlineStr">
        <is>
          <t xml:space="preserve">QU </t>
        </is>
      </c>
      <c r="S414" t="n">
        <v>8</v>
      </c>
      <c r="T414" t="n">
        <v>8</v>
      </c>
      <c r="U414" t="inlineStr">
        <is>
          <t>2002-01-10</t>
        </is>
      </c>
      <c r="V414" t="inlineStr">
        <is>
          <t>2002-01-10</t>
        </is>
      </c>
      <c r="W414" t="inlineStr">
        <is>
          <t>1987-09-27</t>
        </is>
      </c>
      <c r="X414" t="inlineStr">
        <is>
          <t>1987-09-27</t>
        </is>
      </c>
      <c r="Y414" t="n">
        <v>246</v>
      </c>
      <c r="Z414" t="n">
        <v>201</v>
      </c>
      <c r="AA414" t="n">
        <v>315</v>
      </c>
      <c r="AB414" t="n">
        <v>2</v>
      </c>
      <c r="AC414" t="n">
        <v>2</v>
      </c>
      <c r="AD414" t="n">
        <v>8</v>
      </c>
      <c r="AE414" t="n">
        <v>10</v>
      </c>
      <c r="AF414" t="n">
        <v>4</v>
      </c>
      <c r="AG414" t="n">
        <v>6</v>
      </c>
      <c r="AH414" t="n">
        <v>1</v>
      </c>
      <c r="AI414" t="n">
        <v>1</v>
      </c>
      <c r="AJ414" t="n">
        <v>5</v>
      </c>
      <c r="AK414" t="n">
        <v>5</v>
      </c>
      <c r="AL414" t="n">
        <v>1</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HYPERLINK("https://creighton-primo.hosted.exlibrisgroup.com/primo-explore/search?tab=default_tab&amp;search_scope=EVERYTHING&amp;vid=01CRU&amp;lang=en_US&amp;offset=0&amp;query=any,contains,991000493399702656","Catalog Record")</f>
        <v/>
      </c>
      <c r="AT414">
        <f>HYPERLINK("http://www.worldcat.org/oclc/7615485","WorldCat Record")</f>
        <v/>
      </c>
      <c r="AU414" t="inlineStr">
        <is>
          <t>354704745:eng</t>
        </is>
      </c>
      <c r="AV414" t="inlineStr">
        <is>
          <t>7615485</t>
        </is>
      </c>
      <c r="AW414" t="inlineStr">
        <is>
          <t>991000493399702656</t>
        </is>
      </c>
      <c r="AX414" t="inlineStr">
        <is>
          <t>991000493399702656</t>
        </is>
      </c>
      <c r="AY414" t="inlineStr">
        <is>
          <t>2267122350002656</t>
        </is>
      </c>
      <c r="AZ414" t="inlineStr">
        <is>
          <t>BOOK</t>
        </is>
      </c>
      <c r="BB414" t="inlineStr">
        <is>
          <t>9780070305144</t>
        </is>
      </c>
      <c r="BC414" t="inlineStr">
        <is>
          <t>30001000045957</t>
        </is>
      </c>
      <c r="BD414" t="inlineStr">
        <is>
          <t>893629516</t>
        </is>
      </c>
    </row>
    <row r="415">
      <c r="A415" t="inlineStr">
        <is>
          <t>No</t>
        </is>
      </c>
      <c r="B415" t="inlineStr">
        <is>
          <t>QU 145 H9183 v. 2 1979</t>
        </is>
      </c>
      <c r="C415" t="inlineStr">
        <is>
          <t>0                      QU 0145000H  9183                                                    v. 2 1979</t>
        </is>
      </c>
      <c r="D415" t="inlineStr">
        <is>
          <t>Nutrition and growth / edited by Derrick B. Jelliffe and E. F. Patrice Jelliffe.</t>
        </is>
      </c>
      <c r="E415" t="inlineStr">
        <is>
          <t>V. 2</t>
        </is>
      </c>
      <c r="F415" t="inlineStr">
        <is>
          <t>No</t>
        </is>
      </c>
      <c r="G415" t="inlineStr">
        <is>
          <t>1</t>
        </is>
      </c>
      <c r="H415" t="inlineStr">
        <is>
          <t>No</t>
        </is>
      </c>
      <c r="I415" t="inlineStr">
        <is>
          <t>No</t>
        </is>
      </c>
      <c r="J415" t="inlineStr">
        <is>
          <t>0</t>
        </is>
      </c>
      <c r="L415" t="inlineStr">
        <is>
          <t>New York : Plenum Press, c1979.</t>
        </is>
      </c>
      <c r="M415" t="inlineStr">
        <is>
          <t>1979</t>
        </is>
      </c>
      <c r="O415" t="inlineStr">
        <is>
          <t>eng</t>
        </is>
      </c>
      <c r="P415" t="inlineStr">
        <is>
          <t>nyu</t>
        </is>
      </c>
      <c r="Q415" t="inlineStr">
        <is>
          <t>Human nutrition ; v. 2</t>
        </is>
      </c>
      <c r="R415" t="inlineStr">
        <is>
          <t xml:space="preserve">QU </t>
        </is>
      </c>
      <c r="S415" t="n">
        <v>3</v>
      </c>
      <c r="T415" t="n">
        <v>3</v>
      </c>
      <c r="U415" t="inlineStr">
        <is>
          <t>1997-06-05</t>
        </is>
      </c>
      <c r="V415" t="inlineStr">
        <is>
          <t>1997-06-05</t>
        </is>
      </c>
      <c r="W415" t="inlineStr">
        <is>
          <t>1988-02-03</t>
        </is>
      </c>
      <c r="X415" t="inlineStr">
        <is>
          <t>1988-02-03</t>
        </is>
      </c>
      <c r="Y415" t="n">
        <v>388</v>
      </c>
      <c r="Z415" t="n">
        <v>292</v>
      </c>
      <c r="AA415" t="n">
        <v>294</v>
      </c>
      <c r="AB415" t="n">
        <v>1</v>
      </c>
      <c r="AC415" t="n">
        <v>1</v>
      </c>
      <c r="AD415" t="n">
        <v>10</v>
      </c>
      <c r="AE415" t="n">
        <v>10</v>
      </c>
      <c r="AF415" t="n">
        <v>4</v>
      </c>
      <c r="AG415" t="n">
        <v>4</v>
      </c>
      <c r="AH415" t="n">
        <v>2</v>
      </c>
      <c r="AI415" t="n">
        <v>2</v>
      </c>
      <c r="AJ415" t="n">
        <v>7</v>
      </c>
      <c r="AK415" t="n">
        <v>7</v>
      </c>
      <c r="AL415" t="n">
        <v>0</v>
      </c>
      <c r="AM415" t="n">
        <v>0</v>
      </c>
      <c r="AN415" t="n">
        <v>0</v>
      </c>
      <c r="AO415" t="n">
        <v>0</v>
      </c>
      <c r="AP415" t="inlineStr">
        <is>
          <t>No</t>
        </is>
      </c>
      <c r="AQ415" t="inlineStr">
        <is>
          <t>Yes</t>
        </is>
      </c>
      <c r="AR415">
        <f>HYPERLINK("http://catalog.hathitrust.org/Record/000708131","HathiTrust Record")</f>
        <v/>
      </c>
      <c r="AS415">
        <f>HYPERLINK("https://creighton-primo.hosted.exlibrisgroup.com/primo-explore/search?tab=default_tab&amp;search_scope=EVERYTHING&amp;vid=01CRU&amp;lang=en_US&amp;offset=0&amp;query=any,contains,991000906789702656","Catalog Record")</f>
        <v/>
      </c>
      <c r="AT415">
        <f>HYPERLINK("http://www.worldcat.org/oclc/4515905","WorldCat Record")</f>
        <v/>
      </c>
      <c r="AU415" t="inlineStr">
        <is>
          <t>365341799:eng</t>
        </is>
      </c>
      <c r="AV415" t="inlineStr">
        <is>
          <t>4515905</t>
        </is>
      </c>
      <c r="AW415" t="inlineStr">
        <is>
          <t>991000906789702656</t>
        </is>
      </c>
      <c r="AX415" t="inlineStr">
        <is>
          <t>991000906789702656</t>
        </is>
      </c>
      <c r="AY415" t="inlineStr">
        <is>
          <t>2262911770002656</t>
        </is>
      </c>
      <c r="AZ415" t="inlineStr">
        <is>
          <t>BOOK</t>
        </is>
      </c>
      <c r="BB415" t="inlineStr">
        <is>
          <t>9780306401282</t>
        </is>
      </c>
      <c r="BC415" t="inlineStr">
        <is>
          <t>30001000177446</t>
        </is>
      </c>
      <c r="BD415" t="inlineStr">
        <is>
          <t>893460120</t>
        </is>
      </c>
    </row>
    <row r="416">
      <c r="A416" t="inlineStr">
        <is>
          <t>No</t>
        </is>
      </c>
      <c r="B416" t="inlineStr">
        <is>
          <t>QU 145 H9183 1979 v.4</t>
        </is>
      </c>
      <c r="C416" t="inlineStr">
        <is>
          <t>0                      QU 0145000H  9183        1979                                        v.4</t>
        </is>
      </c>
      <c r="D416" t="inlineStr">
        <is>
          <t>Nutrition : metabolic and clinical applications / edited by Robert E. Hodges.</t>
        </is>
      </c>
      <c r="E416" t="inlineStr">
        <is>
          <t>V.4</t>
        </is>
      </c>
      <c r="F416" t="inlineStr">
        <is>
          <t>No</t>
        </is>
      </c>
      <c r="G416" t="inlineStr">
        <is>
          <t>1</t>
        </is>
      </c>
      <c r="H416" t="inlineStr">
        <is>
          <t>No</t>
        </is>
      </c>
      <c r="I416" t="inlineStr">
        <is>
          <t>No</t>
        </is>
      </c>
      <c r="J416" t="inlineStr">
        <is>
          <t>0</t>
        </is>
      </c>
      <c r="L416" t="inlineStr">
        <is>
          <t>New York : Plenum Press, c1979.</t>
        </is>
      </c>
      <c r="M416" t="inlineStr">
        <is>
          <t>1979</t>
        </is>
      </c>
      <c r="O416" t="inlineStr">
        <is>
          <t>eng</t>
        </is>
      </c>
      <c r="P416" t="inlineStr">
        <is>
          <t>nyu</t>
        </is>
      </c>
      <c r="Q416" t="inlineStr">
        <is>
          <t>Human nutrition ; v. 4</t>
        </is>
      </c>
      <c r="R416" t="inlineStr">
        <is>
          <t xml:space="preserve">QU </t>
        </is>
      </c>
      <c r="S416" t="n">
        <v>3</v>
      </c>
      <c r="T416" t="n">
        <v>3</v>
      </c>
      <c r="U416" t="inlineStr">
        <is>
          <t>1991-02-22</t>
        </is>
      </c>
      <c r="V416" t="inlineStr">
        <is>
          <t>1991-02-22</t>
        </is>
      </c>
      <c r="W416" t="inlineStr">
        <is>
          <t>1988-02-03</t>
        </is>
      </c>
      <c r="X416" t="inlineStr">
        <is>
          <t>1988-02-03</t>
        </is>
      </c>
      <c r="Y416" t="n">
        <v>336</v>
      </c>
      <c r="Z416" t="n">
        <v>254</v>
      </c>
      <c r="AA416" t="n">
        <v>273</v>
      </c>
      <c r="AB416" t="n">
        <v>1</v>
      </c>
      <c r="AC416" t="n">
        <v>1</v>
      </c>
      <c r="AD416" t="n">
        <v>8</v>
      </c>
      <c r="AE416" t="n">
        <v>8</v>
      </c>
      <c r="AF416" t="n">
        <v>3</v>
      </c>
      <c r="AG416" t="n">
        <v>3</v>
      </c>
      <c r="AH416" t="n">
        <v>2</v>
      </c>
      <c r="AI416" t="n">
        <v>2</v>
      </c>
      <c r="AJ416" t="n">
        <v>6</v>
      </c>
      <c r="AK416" t="n">
        <v>6</v>
      </c>
      <c r="AL416" t="n">
        <v>0</v>
      </c>
      <c r="AM416" t="n">
        <v>0</v>
      </c>
      <c r="AN416" t="n">
        <v>0</v>
      </c>
      <c r="AO416" t="n">
        <v>0</v>
      </c>
      <c r="AP416" t="inlineStr">
        <is>
          <t>No</t>
        </is>
      </c>
      <c r="AQ416" t="inlineStr">
        <is>
          <t>Yes</t>
        </is>
      </c>
      <c r="AR416">
        <f>HYPERLINK("http://catalog.hathitrust.org/Record/000029635","HathiTrust Record")</f>
        <v/>
      </c>
      <c r="AS416">
        <f>HYPERLINK("https://creighton-primo.hosted.exlibrisgroup.com/primo-explore/search?tab=default_tab&amp;search_scope=EVERYTHING&amp;vid=01CRU&amp;lang=en_US&amp;offset=0&amp;query=any,contains,991000906699702656","Catalog Record")</f>
        <v/>
      </c>
      <c r="AT416">
        <f>HYPERLINK("http://www.worldcat.org/oclc/4491596","WorldCat Record")</f>
        <v/>
      </c>
      <c r="AU416" t="inlineStr">
        <is>
          <t>894510057:eng</t>
        </is>
      </c>
      <c r="AV416" t="inlineStr">
        <is>
          <t>4491596</t>
        </is>
      </c>
      <c r="AW416" t="inlineStr">
        <is>
          <t>991000906699702656</t>
        </is>
      </c>
      <c r="AX416" t="inlineStr">
        <is>
          <t>991000906699702656</t>
        </is>
      </c>
      <c r="AY416" t="inlineStr">
        <is>
          <t>2264032600002656</t>
        </is>
      </c>
      <c r="AZ416" t="inlineStr">
        <is>
          <t>BOOK</t>
        </is>
      </c>
      <c r="BB416" t="inlineStr">
        <is>
          <t>9780306402036</t>
        </is>
      </c>
      <c r="BC416" t="inlineStr">
        <is>
          <t>30001000177420</t>
        </is>
      </c>
      <c r="BD416" t="inlineStr">
        <is>
          <t>893273469</t>
        </is>
      </c>
    </row>
    <row r="417">
      <c r="A417" t="inlineStr">
        <is>
          <t>No</t>
        </is>
      </c>
      <c r="B417" t="inlineStr">
        <is>
          <t>QU 145 H9183 1989 v.6</t>
        </is>
      </c>
      <c r="C417" t="inlineStr">
        <is>
          <t>0                      QU 0145000H  9183        1989                                        v.6</t>
        </is>
      </c>
      <c r="D417" t="inlineStr">
        <is>
          <t>Nutrition, aging, and the elderly / edited by Hamish N. Munro and Darla E. Danford.</t>
        </is>
      </c>
      <c r="E417" t="inlineStr">
        <is>
          <t>V.6</t>
        </is>
      </c>
      <c r="F417" t="inlineStr">
        <is>
          <t>No</t>
        </is>
      </c>
      <c r="G417" t="inlineStr">
        <is>
          <t>1</t>
        </is>
      </c>
      <c r="H417" t="inlineStr">
        <is>
          <t>No</t>
        </is>
      </c>
      <c r="I417" t="inlineStr">
        <is>
          <t>No</t>
        </is>
      </c>
      <c r="J417" t="inlineStr">
        <is>
          <t>0</t>
        </is>
      </c>
      <c r="L417" t="inlineStr">
        <is>
          <t>New York : Plenum Press, c1989.</t>
        </is>
      </c>
      <c r="M417" t="inlineStr">
        <is>
          <t>1989</t>
        </is>
      </c>
      <c r="O417" t="inlineStr">
        <is>
          <t>eng</t>
        </is>
      </c>
      <c r="P417" t="inlineStr">
        <is>
          <t>xxu</t>
        </is>
      </c>
      <c r="Q417" t="inlineStr">
        <is>
          <t>Human nutrition : a comprehensive treatise ; v. 6.</t>
        </is>
      </c>
      <c r="R417" t="inlineStr">
        <is>
          <t xml:space="preserve">QU </t>
        </is>
      </c>
      <c r="S417" t="n">
        <v>11</v>
      </c>
      <c r="T417" t="n">
        <v>11</v>
      </c>
      <c r="U417" t="inlineStr">
        <is>
          <t>1999-07-21</t>
        </is>
      </c>
      <c r="V417" t="inlineStr">
        <is>
          <t>1999-07-21</t>
        </is>
      </c>
      <c r="W417" t="inlineStr">
        <is>
          <t>1989-07-08</t>
        </is>
      </c>
      <c r="X417" t="inlineStr">
        <is>
          <t>1989-07-08</t>
        </is>
      </c>
      <c r="Y417" t="n">
        <v>272</v>
      </c>
      <c r="Z417" t="n">
        <v>210</v>
      </c>
      <c r="AA417" t="n">
        <v>232</v>
      </c>
      <c r="AB417" t="n">
        <v>3</v>
      </c>
      <c r="AC417" t="n">
        <v>3</v>
      </c>
      <c r="AD417" t="n">
        <v>5</v>
      </c>
      <c r="AE417" t="n">
        <v>6</v>
      </c>
      <c r="AF417" t="n">
        <v>0</v>
      </c>
      <c r="AG417" t="n">
        <v>1</v>
      </c>
      <c r="AH417" t="n">
        <v>2</v>
      </c>
      <c r="AI417" t="n">
        <v>2</v>
      </c>
      <c r="AJ417" t="n">
        <v>2</v>
      </c>
      <c r="AK417" t="n">
        <v>3</v>
      </c>
      <c r="AL417" t="n">
        <v>2</v>
      </c>
      <c r="AM417" t="n">
        <v>2</v>
      </c>
      <c r="AN417" t="n">
        <v>0</v>
      </c>
      <c r="AO417" t="n">
        <v>0</v>
      </c>
      <c r="AP417" t="inlineStr">
        <is>
          <t>No</t>
        </is>
      </c>
      <c r="AQ417" t="inlineStr">
        <is>
          <t>Yes</t>
        </is>
      </c>
      <c r="AR417">
        <f>HYPERLINK("http://catalog.hathitrust.org/Record/001290372","HathiTrust Record")</f>
        <v/>
      </c>
      <c r="AS417">
        <f>HYPERLINK("https://creighton-primo.hosted.exlibrisgroup.com/primo-explore/search?tab=default_tab&amp;search_scope=EVERYTHING&amp;vid=01CRU&amp;lang=en_US&amp;offset=0&amp;query=any,contains,991001310459702656","Catalog Record")</f>
        <v/>
      </c>
      <c r="AT417">
        <f>HYPERLINK("http://www.worldcat.org/oclc/18681315","WorldCat Record")</f>
        <v/>
      </c>
      <c r="AU417" t="inlineStr">
        <is>
          <t>355544015:eng</t>
        </is>
      </c>
      <c r="AV417" t="inlineStr">
        <is>
          <t>18681315</t>
        </is>
      </c>
      <c r="AW417" t="inlineStr">
        <is>
          <t>991001310459702656</t>
        </is>
      </c>
      <c r="AX417" t="inlineStr">
        <is>
          <t>991001310459702656</t>
        </is>
      </c>
      <c r="AY417" t="inlineStr">
        <is>
          <t>2262183950002656</t>
        </is>
      </c>
      <c r="AZ417" t="inlineStr">
        <is>
          <t>BOOK</t>
        </is>
      </c>
      <c r="BB417" t="inlineStr">
        <is>
          <t>9780306430473</t>
        </is>
      </c>
      <c r="BC417" t="inlineStr">
        <is>
          <t>30001001750696</t>
        </is>
      </c>
      <c r="BD417" t="inlineStr">
        <is>
          <t>893460459</t>
        </is>
      </c>
    </row>
    <row r="418">
      <c r="A418" t="inlineStr">
        <is>
          <t>No</t>
        </is>
      </c>
      <c r="B418" t="inlineStr">
        <is>
          <t>QU 145 H9183 1991 v.7</t>
        </is>
      </c>
      <c r="C418" t="inlineStr">
        <is>
          <t>0                      QU 0145000H  9183        1991                                        v.7</t>
        </is>
      </c>
      <c r="D418" t="inlineStr">
        <is>
          <t>Cancer and nutrition / edited by Roslyn B. Alfin-Slater and David Kritchevsky.</t>
        </is>
      </c>
      <c r="E418" t="inlineStr">
        <is>
          <t>V.7</t>
        </is>
      </c>
      <c r="F418" t="inlineStr">
        <is>
          <t>No</t>
        </is>
      </c>
      <c r="G418" t="inlineStr">
        <is>
          <t>1</t>
        </is>
      </c>
      <c r="H418" t="inlineStr">
        <is>
          <t>No</t>
        </is>
      </c>
      <c r="I418" t="inlineStr">
        <is>
          <t>No</t>
        </is>
      </c>
      <c r="J418" t="inlineStr">
        <is>
          <t>0</t>
        </is>
      </c>
      <c r="L418" t="inlineStr">
        <is>
          <t>New York : Plenum, c1991.</t>
        </is>
      </c>
      <c r="M418" t="inlineStr">
        <is>
          <t>1991</t>
        </is>
      </c>
      <c r="O418" t="inlineStr">
        <is>
          <t>eng</t>
        </is>
      </c>
      <c r="P418" t="inlineStr">
        <is>
          <t>nyu</t>
        </is>
      </c>
      <c r="Q418" t="inlineStr">
        <is>
          <t>Human nutrition ; v. 7</t>
        </is>
      </c>
      <c r="R418" t="inlineStr">
        <is>
          <t xml:space="preserve">QU </t>
        </is>
      </c>
      <c r="S418" t="n">
        <v>9</v>
      </c>
      <c r="T418" t="n">
        <v>9</v>
      </c>
      <c r="U418" t="inlineStr">
        <is>
          <t>1992-03-21</t>
        </is>
      </c>
      <c r="V418" t="inlineStr">
        <is>
          <t>1992-03-21</t>
        </is>
      </c>
      <c r="W418" t="inlineStr">
        <is>
          <t>1991-03-28</t>
        </is>
      </c>
      <c r="X418" t="inlineStr">
        <is>
          <t>1991-03-28</t>
        </is>
      </c>
      <c r="Y418" t="n">
        <v>225</v>
      </c>
      <c r="Z418" t="n">
        <v>163</v>
      </c>
      <c r="AA418" t="n">
        <v>187</v>
      </c>
      <c r="AB418" t="n">
        <v>1</v>
      </c>
      <c r="AC418" t="n">
        <v>2</v>
      </c>
      <c r="AD418" t="n">
        <v>5</v>
      </c>
      <c r="AE418" t="n">
        <v>7</v>
      </c>
      <c r="AF418" t="n">
        <v>2</v>
      </c>
      <c r="AG418" t="n">
        <v>3</v>
      </c>
      <c r="AH418" t="n">
        <v>2</v>
      </c>
      <c r="AI418" t="n">
        <v>2</v>
      </c>
      <c r="AJ418" t="n">
        <v>3</v>
      </c>
      <c r="AK418" t="n">
        <v>4</v>
      </c>
      <c r="AL418" t="n">
        <v>0</v>
      </c>
      <c r="AM418" t="n">
        <v>1</v>
      </c>
      <c r="AN418" t="n">
        <v>0</v>
      </c>
      <c r="AO418" t="n">
        <v>0</v>
      </c>
      <c r="AP418" t="inlineStr">
        <is>
          <t>No</t>
        </is>
      </c>
      <c r="AQ418" t="inlineStr">
        <is>
          <t>Yes</t>
        </is>
      </c>
      <c r="AR418">
        <f>HYPERLINK("http://catalog.hathitrust.org/Record/002424430","HathiTrust Record")</f>
        <v/>
      </c>
      <c r="AS418">
        <f>HYPERLINK("https://creighton-primo.hosted.exlibrisgroup.com/primo-explore/search?tab=default_tab&amp;search_scope=EVERYTHING&amp;vid=01CRU&amp;lang=en_US&amp;offset=0&amp;query=any,contains,991000827449702656","Catalog Record")</f>
        <v/>
      </c>
      <c r="AT418">
        <f>HYPERLINK("http://www.worldcat.org/oclc/22665316","WorldCat Record")</f>
        <v/>
      </c>
      <c r="AU418" t="inlineStr">
        <is>
          <t>3856612874:eng</t>
        </is>
      </c>
      <c r="AV418" t="inlineStr">
        <is>
          <t>22665316</t>
        </is>
      </c>
      <c r="AW418" t="inlineStr">
        <is>
          <t>991000827449702656</t>
        </is>
      </c>
      <c r="AX418" t="inlineStr">
        <is>
          <t>991000827449702656</t>
        </is>
      </c>
      <c r="AY418" t="inlineStr">
        <is>
          <t>2257222170002656</t>
        </is>
      </c>
      <c r="AZ418" t="inlineStr">
        <is>
          <t>BOOK</t>
        </is>
      </c>
      <c r="BB418" t="inlineStr">
        <is>
          <t>9780306434259</t>
        </is>
      </c>
      <c r="BC418" t="inlineStr">
        <is>
          <t>30001002089433</t>
        </is>
      </c>
      <c r="BD418" t="inlineStr">
        <is>
          <t>893731348</t>
        </is>
      </c>
    </row>
    <row r="419">
      <c r="A419" t="inlineStr">
        <is>
          <t>No</t>
        </is>
      </c>
      <c r="B419" t="inlineStr">
        <is>
          <t>QU 145 H9186 1982</t>
        </is>
      </c>
      <c r="C419" t="inlineStr">
        <is>
          <t>0                      QU 0145000H  9186        1982</t>
        </is>
      </c>
      <c r="D419" t="inlineStr">
        <is>
          <t>Human nutrition : current issues and controversies / edited by A. Neuberger, T.H. Jukes.</t>
        </is>
      </c>
      <c r="F419" t="inlineStr">
        <is>
          <t>No</t>
        </is>
      </c>
      <c r="G419" t="inlineStr">
        <is>
          <t>1</t>
        </is>
      </c>
      <c r="H419" t="inlineStr">
        <is>
          <t>No</t>
        </is>
      </c>
      <c r="I419" t="inlineStr">
        <is>
          <t>No</t>
        </is>
      </c>
      <c r="J419" t="inlineStr">
        <is>
          <t>0</t>
        </is>
      </c>
      <c r="L419" t="inlineStr">
        <is>
          <t>Englewood, N.J. : J.K. Burgess, c1982.</t>
        </is>
      </c>
      <c r="M419" t="inlineStr">
        <is>
          <t>1982</t>
        </is>
      </c>
      <c r="O419" t="inlineStr">
        <is>
          <t>eng</t>
        </is>
      </c>
      <c r="P419" t="inlineStr">
        <is>
          <t>nju</t>
        </is>
      </c>
      <c r="R419" t="inlineStr">
        <is>
          <t xml:space="preserve">QU </t>
        </is>
      </c>
      <c r="S419" t="n">
        <v>5</v>
      </c>
      <c r="T419" t="n">
        <v>5</v>
      </c>
      <c r="U419" t="inlineStr">
        <is>
          <t>1997-04-27</t>
        </is>
      </c>
      <c r="V419" t="inlineStr">
        <is>
          <t>1997-04-27</t>
        </is>
      </c>
      <c r="W419" t="inlineStr">
        <is>
          <t>1987-08-25</t>
        </is>
      </c>
      <c r="X419" t="inlineStr">
        <is>
          <t>1987-08-25</t>
        </is>
      </c>
      <c r="Y419" t="n">
        <v>123</v>
      </c>
      <c r="Z419" t="n">
        <v>112</v>
      </c>
      <c r="AA419" t="n">
        <v>167</v>
      </c>
      <c r="AB419" t="n">
        <v>1</v>
      </c>
      <c r="AC419" t="n">
        <v>3</v>
      </c>
      <c r="AD419" t="n">
        <v>1</v>
      </c>
      <c r="AE419" t="n">
        <v>4</v>
      </c>
      <c r="AF419" t="n">
        <v>0</v>
      </c>
      <c r="AG419" t="n">
        <v>1</v>
      </c>
      <c r="AH419" t="n">
        <v>1</v>
      </c>
      <c r="AI419" t="n">
        <v>1</v>
      </c>
      <c r="AJ419" t="n">
        <v>0</v>
      </c>
      <c r="AK419" t="n">
        <v>1</v>
      </c>
      <c r="AL419" t="n">
        <v>0</v>
      </c>
      <c r="AM419" t="n">
        <v>2</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HYPERLINK("https://creighton-primo.hosted.exlibrisgroup.com/primo-explore/search?tab=default_tab&amp;search_scope=EVERYTHING&amp;vid=01CRU&amp;lang=en_US&amp;offset=0&amp;query=any,contains,991001487089702656","Catalog Record")</f>
        <v/>
      </c>
      <c r="AT419">
        <f>HYPERLINK("http://www.worldcat.org/oclc/8291727","WorldCat Record")</f>
        <v/>
      </c>
      <c r="AU419" t="inlineStr">
        <is>
          <t>836621938:eng</t>
        </is>
      </c>
      <c r="AV419" t="inlineStr">
        <is>
          <t>8291727</t>
        </is>
      </c>
      <c r="AW419" t="inlineStr">
        <is>
          <t>991001487089702656</t>
        </is>
      </c>
      <c r="AX419" t="inlineStr">
        <is>
          <t>991001487089702656</t>
        </is>
      </c>
      <c r="AY419" t="inlineStr">
        <is>
          <t>2261782460002656</t>
        </is>
      </c>
      <c r="AZ419" t="inlineStr">
        <is>
          <t>BOOK</t>
        </is>
      </c>
      <c r="BB419" t="inlineStr">
        <is>
          <t>9780937218372</t>
        </is>
      </c>
      <c r="BC419" t="inlineStr">
        <is>
          <t>30001000575425</t>
        </is>
      </c>
      <c r="BD419" t="inlineStr">
        <is>
          <t>893284856</t>
        </is>
      </c>
    </row>
    <row r="420">
      <c r="A420" t="inlineStr">
        <is>
          <t>No</t>
        </is>
      </c>
      <c r="B420" t="inlineStr">
        <is>
          <t>QU 145 J23g 1991</t>
        </is>
      </c>
      <c r="C420" t="inlineStr">
        <is>
          <t>0                      QU 0145000J  23g         1991</t>
        </is>
      </c>
      <c r="D420" t="inlineStr">
        <is>
          <t>Geriatric nutrition and diet therapy / by Marie Jaffe.</t>
        </is>
      </c>
      <c r="F420" t="inlineStr">
        <is>
          <t>No</t>
        </is>
      </c>
      <c r="G420" t="inlineStr">
        <is>
          <t>1</t>
        </is>
      </c>
      <c r="H420" t="inlineStr">
        <is>
          <t>No</t>
        </is>
      </c>
      <c r="I420" t="inlineStr">
        <is>
          <t>No</t>
        </is>
      </c>
      <c r="J420" t="inlineStr">
        <is>
          <t>0</t>
        </is>
      </c>
      <c r="K420" t="inlineStr">
        <is>
          <t>Jaffe, Marie S.</t>
        </is>
      </c>
      <c r="L420" t="inlineStr">
        <is>
          <t>El Paso, Texas : Skidmore-Roth Publishing, c1991.</t>
        </is>
      </c>
      <c r="M420" t="inlineStr">
        <is>
          <t>1991</t>
        </is>
      </c>
      <c r="O420" t="inlineStr">
        <is>
          <t>eng</t>
        </is>
      </c>
      <c r="P420" t="inlineStr">
        <is>
          <t>txu</t>
        </is>
      </c>
      <c r="R420" t="inlineStr">
        <is>
          <t xml:space="preserve">QU </t>
        </is>
      </c>
      <c r="S420" t="n">
        <v>5</v>
      </c>
      <c r="T420" t="n">
        <v>5</v>
      </c>
      <c r="U420" t="inlineStr">
        <is>
          <t>1994-02-19</t>
        </is>
      </c>
      <c r="V420" t="inlineStr">
        <is>
          <t>1994-02-19</t>
        </is>
      </c>
      <c r="W420" t="inlineStr">
        <is>
          <t>1992-06-10</t>
        </is>
      </c>
      <c r="X420" t="inlineStr">
        <is>
          <t>1992-06-10</t>
        </is>
      </c>
      <c r="Y420" t="n">
        <v>37</v>
      </c>
      <c r="Z420" t="n">
        <v>31</v>
      </c>
      <c r="AA420" t="n">
        <v>162</v>
      </c>
      <c r="AB420" t="n">
        <v>1</v>
      </c>
      <c r="AC420" t="n">
        <v>1</v>
      </c>
      <c r="AD420" t="n">
        <v>0</v>
      </c>
      <c r="AE420" t="n">
        <v>2</v>
      </c>
      <c r="AF420" t="n">
        <v>0</v>
      </c>
      <c r="AG420" t="n">
        <v>1</v>
      </c>
      <c r="AH420" t="n">
        <v>0</v>
      </c>
      <c r="AI420" t="n">
        <v>1</v>
      </c>
      <c r="AJ420" t="n">
        <v>0</v>
      </c>
      <c r="AK420" t="n">
        <v>1</v>
      </c>
      <c r="AL420" t="n">
        <v>0</v>
      </c>
      <c r="AM420" t="n">
        <v>0</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HYPERLINK("https://creighton-primo.hosted.exlibrisgroup.com/primo-explore/search?tab=default_tab&amp;search_scope=EVERYTHING&amp;vid=01CRU&amp;lang=en_US&amp;offset=0&amp;query=any,contains,991001228729702656","Catalog Record")</f>
        <v/>
      </c>
      <c r="AT420">
        <f>HYPERLINK("http://www.worldcat.org/oclc/28425986","WorldCat Record")</f>
        <v/>
      </c>
      <c r="AU420" t="inlineStr">
        <is>
          <t>30933482:eng</t>
        </is>
      </c>
      <c r="AV420" t="inlineStr">
        <is>
          <t>28425986</t>
        </is>
      </c>
      <c r="AW420" t="inlineStr">
        <is>
          <t>991001228729702656</t>
        </is>
      </c>
      <c r="AX420" t="inlineStr">
        <is>
          <t>991001228729702656</t>
        </is>
      </c>
      <c r="AY420" t="inlineStr">
        <is>
          <t>2261040540002656</t>
        </is>
      </c>
      <c r="AZ420" t="inlineStr">
        <is>
          <t>BOOK</t>
        </is>
      </c>
      <c r="BB420" t="inlineStr">
        <is>
          <t>9780944132654</t>
        </is>
      </c>
      <c r="BC420" t="inlineStr">
        <is>
          <t>30001002335281</t>
        </is>
      </c>
      <c r="BD420" t="inlineStr">
        <is>
          <t>893736341</t>
        </is>
      </c>
    </row>
    <row r="421">
      <c r="A421" t="inlineStr">
        <is>
          <t>No</t>
        </is>
      </c>
      <c r="B421" t="inlineStr">
        <is>
          <t>QU 145 K65m 1978</t>
        </is>
      </c>
      <c r="C421" t="inlineStr">
        <is>
          <t>0                      QU 0145000K  65m         1978</t>
        </is>
      </c>
      <c r="D421" t="inlineStr">
        <is>
          <t>Mealtime manual for people with disabilities and the aging / compiled by Judith Lannefeld Klinger with the Institute of Rehabilitation Medicine, New York University Medical Center and Campbell Soup Company.</t>
        </is>
      </c>
      <c r="F421" t="inlineStr">
        <is>
          <t>No</t>
        </is>
      </c>
      <c r="G421" t="inlineStr">
        <is>
          <t>1</t>
        </is>
      </c>
      <c r="H421" t="inlineStr">
        <is>
          <t>No</t>
        </is>
      </c>
      <c r="I421" t="inlineStr">
        <is>
          <t>No</t>
        </is>
      </c>
      <c r="J421" t="inlineStr">
        <is>
          <t>0</t>
        </is>
      </c>
      <c r="K421" t="inlineStr">
        <is>
          <t>Klinger, Judith Lannefeld.</t>
        </is>
      </c>
      <c r="L421" t="inlineStr">
        <is>
          <t>New York ; Camden, New Jersey : Institute of Rehabilitation Medicine ; Campbell Soup Company, c1978.</t>
        </is>
      </c>
      <c r="M421" t="inlineStr">
        <is>
          <t>1978</t>
        </is>
      </c>
      <c r="N421" t="inlineStr">
        <is>
          <t>2nd ed. / rev. and updated ed. of Mealtime Manual for the aged and handicapped.</t>
        </is>
      </c>
      <c r="O421" t="inlineStr">
        <is>
          <t>eng</t>
        </is>
      </c>
      <c r="P421" t="inlineStr">
        <is>
          <t>nyu</t>
        </is>
      </c>
      <c r="R421" t="inlineStr">
        <is>
          <t xml:space="preserve">QU </t>
        </is>
      </c>
      <c r="S421" t="n">
        <v>5</v>
      </c>
      <c r="T421" t="n">
        <v>5</v>
      </c>
      <c r="U421" t="inlineStr">
        <is>
          <t>1994-04-04</t>
        </is>
      </c>
      <c r="V421" t="inlineStr">
        <is>
          <t>1994-04-04</t>
        </is>
      </c>
      <c r="W421" t="inlineStr">
        <is>
          <t>1987-11-17</t>
        </is>
      </c>
      <c r="X421" t="inlineStr">
        <is>
          <t>1987-11-17</t>
        </is>
      </c>
      <c r="Y421" t="n">
        <v>195</v>
      </c>
      <c r="Z421" t="n">
        <v>186</v>
      </c>
      <c r="AA421" t="n">
        <v>194</v>
      </c>
      <c r="AB421" t="n">
        <v>4</v>
      </c>
      <c r="AC421" t="n">
        <v>4</v>
      </c>
      <c r="AD421" t="n">
        <v>1</v>
      </c>
      <c r="AE421" t="n">
        <v>1</v>
      </c>
      <c r="AF421" t="n">
        <v>0</v>
      </c>
      <c r="AG421" t="n">
        <v>0</v>
      </c>
      <c r="AH421" t="n">
        <v>1</v>
      </c>
      <c r="AI421" t="n">
        <v>1</v>
      </c>
      <c r="AJ421" t="n">
        <v>0</v>
      </c>
      <c r="AK421" t="n">
        <v>0</v>
      </c>
      <c r="AL421" t="n">
        <v>0</v>
      </c>
      <c r="AM421" t="n">
        <v>0</v>
      </c>
      <c r="AN421" t="n">
        <v>0</v>
      </c>
      <c r="AO421" t="n">
        <v>0</v>
      </c>
      <c r="AP421" t="inlineStr">
        <is>
          <t>No</t>
        </is>
      </c>
      <c r="AQ421" t="inlineStr">
        <is>
          <t>Yes</t>
        </is>
      </c>
      <c r="AR421">
        <f>HYPERLINK("http://catalog.hathitrust.org/Record/000928907","HathiTrust Record")</f>
        <v/>
      </c>
      <c r="AS421">
        <f>HYPERLINK("https://creighton-primo.hosted.exlibrisgroup.com/primo-explore/search?tab=default_tab&amp;search_scope=EVERYTHING&amp;vid=01CRU&amp;lang=en_US&amp;offset=0&amp;query=any,contains,991001531619702656","Catalog Record")</f>
        <v/>
      </c>
      <c r="AT421">
        <f>HYPERLINK("http://www.worldcat.org/oclc/3923584","WorldCat Record")</f>
        <v/>
      </c>
      <c r="AU421" t="inlineStr">
        <is>
          <t>13433078:eng</t>
        </is>
      </c>
      <c r="AV421" t="inlineStr">
        <is>
          <t>3923584</t>
        </is>
      </c>
      <c r="AW421" t="inlineStr">
        <is>
          <t>991001531619702656</t>
        </is>
      </c>
      <c r="AX421" t="inlineStr">
        <is>
          <t>991001531619702656</t>
        </is>
      </c>
      <c r="AY421" t="inlineStr">
        <is>
          <t>2268100750002656</t>
        </is>
      </c>
      <c r="AZ421" t="inlineStr">
        <is>
          <t>BOOK</t>
        </is>
      </c>
      <c r="BC421" t="inlineStr">
        <is>
          <t>30001000621658</t>
        </is>
      </c>
      <c r="BD421" t="inlineStr">
        <is>
          <t>893121611</t>
        </is>
      </c>
    </row>
    <row r="422">
      <c r="A422" t="inlineStr">
        <is>
          <t>No</t>
        </is>
      </c>
      <c r="B422" t="inlineStr">
        <is>
          <t>QU 145 K91s 1990</t>
        </is>
      </c>
      <c r="C422" t="inlineStr">
        <is>
          <t>0                      QU 0145000K  91s         1990</t>
        </is>
      </c>
      <c r="D422" t="inlineStr">
        <is>
          <t>A simplified scientific approach to nutrition / Edward Kravitz.</t>
        </is>
      </c>
      <c r="F422" t="inlineStr">
        <is>
          <t>No</t>
        </is>
      </c>
      <c r="G422" t="inlineStr">
        <is>
          <t>1</t>
        </is>
      </c>
      <c r="H422" t="inlineStr">
        <is>
          <t>No</t>
        </is>
      </c>
      <c r="I422" t="inlineStr">
        <is>
          <t>No</t>
        </is>
      </c>
      <c r="J422" t="inlineStr">
        <is>
          <t>0</t>
        </is>
      </c>
      <c r="K422" t="inlineStr">
        <is>
          <t>Kravitz, Edward.</t>
        </is>
      </c>
      <c r="L422" t="inlineStr">
        <is>
          <t>New York : Vantage Press, c1990.</t>
        </is>
      </c>
      <c r="M422" t="inlineStr">
        <is>
          <t>1990</t>
        </is>
      </c>
      <c r="O422" t="inlineStr">
        <is>
          <t>eng</t>
        </is>
      </c>
      <c r="P422" t="inlineStr">
        <is>
          <t>nyu</t>
        </is>
      </c>
      <c r="R422" t="inlineStr">
        <is>
          <t xml:space="preserve">QU </t>
        </is>
      </c>
      <c r="S422" t="n">
        <v>6</v>
      </c>
      <c r="T422" t="n">
        <v>6</v>
      </c>
      <c r="U422" t="inlineStr">
        <is>
          <t>1992-10-14</t>
        </is>
      </c>
      <c r="V422" t="inlineStr">
        <is>
          <t>1992-10-14</t>
        </is>
      </c>
      <c r="W422" t="inlineStr">
        <is>
          <t>1990-10-05</t>
        </is>
      </c>
      <c r="X422" t="inlineStr">
        <is>
          <t>1990-10-05</t>
        </is>
      </c>
      <c r="Y422" t="n">
        <v>5</v>
      </c>
      <c r="Z422" t="n">
        <v>4</v>
      </c>
      <c r="AA422" t="n">
        <v>4</v>
      </c>
      <c r="AB422" t="n">
        <v>1</v>
      </c>
      <c r="AC422" t="n">
        <v>1</v>
      </c>
      <c r="AD422" t="n">
        <v>0</v>
      </c>
      <c r="AE422" t="n">
        <v>0</v>
      </c>
      <c r="AF422" t="n">
        <v>0</v>
      </c>
      <c r="AG422" t="n">
        <v>0</v>
      </c>
      <c r="AH422" t="n">
        <v>0</v>
      </c>
      <c r="AI422" t="n">
        <v>0</v>
      </c>
      <c r="AJ422" t="n">
        <v>0</v>
      </c>
      <c r="AK422" t="n">
        <v>0</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HYPERLINK("https://creighton-primo.hosted.exlibrisgroup.com/primo-explore/search?tab=default_tab&amp;search_scope=EVERYTHING&amp;vid=01CRU&amp;lang=en_US&amp;offset=0&amp;query=any,contains,991000763739702656","Catalog Record")</f>
        <v/>
      </c>
      <c r="AT422">
        <f>HYPERLINK("http://www.worldcat.org/oclc/23659880","WorldCat Record")</f>
        <v/>
      </c>
      <c r="AU422" t="inlineStr">
        <is>
          <t>24915571:eng</t>
        </is>
      </c>
      <c r="AV422" t="inlineStr">
        <is>
          <t>23659880</t>
        </is>
      </c>
      <c r="AW422" t="inlineStr">
        <is>
          <t>991000763739702656</t>
        </is>
      </c>
      <c r="AX422" t="inlineStr">
        <is>
          <t>991000763739702656</t>
        </is>
      </c>
      <c r="AY422" t="inlineStr">
        <is>
          <t>2260520700002656</t>
        </is>
      </c>
      <c r="AZ422" t="inlineStr">
        <is>
          <t>BOOK</t>
        </is>
      </c>
      <c r="BB422" t="inlineStr">
        <is>
          <t>9780533086306</t>
        </is>
      </c>
      <c r="BC422" t="inlineStr">
        <is>
          <t>30001002060632</t>
        </is>
      </c>
      <c r="BD422" t="inlineStr">
        <is>
          <t>893825642</t>
        </is>
      </c>
    </row>
    <row r="423">
      <c r="A423" t="inlineStr">
        <is>
          <t>No</t>
        </is>
      </c>
      <c r="B423" t="inlineStr">
        <is>
          <t>QU 145 L317n 1990</t>
        </is>
      </c>
      <c r="C423" t="inlineStr">
        <is>
          <t>0                      QU 0145000L  317n        1990</t>
        </is>
      </c>
      <c r="D423" t="inlineStr">
        <is>
          <t>Nutrition in clinical nursing / Idamarie Laquatra, Mary Jo Gerlach.</t>
        </is>
      </c>
      <c r="F423" t="inlineStr">
        <is>
          <t>No</t>
        </is>
      </c>
      <c r="G423" t="inlineStr">
        <is>
          <t>1</t>
        </is>
      </c>
      <c r="H423" t="inlineStr">
        <is>
          <t>No</t>
        </is>
      </c>
      <c r="I423" t="inlineStr">
        <is>
          <t>No</t>
        </is>
      </c>
      <c r="J423" t="inlineStr">
        <is>
          <t>0</t>
        </is>
      </c>
      <c r="K423" t="inlineStr">
        <is>
          <t>Laquatra, Idamarie.</t>
        </is>
      </c>
      <c r="L423" t="inlineStr">
        <is>
          <t>Albany, N.Y. : Delmar Publishers, c1990.</t>
        </is>
      </c>
      <c r="M423" t="inlineStr">
        <is>
          <t>1990</t>
        </is>
      </c>
      <c r="O423" t="inlineStr">
        <is>
          <t>eng</t>
        </is>
      </c>
      <c r="P423" t="inlineStr">
        <is>
          <t>xxu</t>
        </is>
      </c>
      <c r="R423" t="inlineStr">
        <is>
          <t xml:space="preserve">QU </t>
        </is>
      </c>
      <c r="S423" t="n">
        <v>13</v>
      </c>
      <c r="T423" t="n">
        <v>13</v>
      </c>
      <c r="U423" t="inlineStr">
        <is>
          <t>2001-10-15</t>
        </is>
      </c>
      <c r="V423" t="inlineStr">
        <is>
          <t>2001-10-15</t>
        </is>
      </c>
      <c r="W423" t="inlineStr">
        <is>
          <t>1990-07-10</t>
        </is>
      </c>
      <c r="X423" t="inlineStr">
        <is>
          <t>1990-07-10</t>
        </is>
      </c>
      <c r="Y423" t="n">
        <v>137</v>
      </c>
      <c r="Z423" t="n">
        <v>101</v>
      </c>
      <c r="AA423" t="n">
        <v>101</v>
      </c>
      <c r="AB423" t="n">
        <v>1</v>
      </c>
      <c r="AC423" t="n">
        <v>1</v>
      </c>
      <c r="AD423" t="n">
        <v>2</v>
      </c>
      <c r="AE423" t="n">
        <v>2</v>
      </c>
      <c r="AF423" t="n">
        <v>1</v>
      </c>
      <c r="AG423" t="n">
        <v>1</v>
      </c>
      <c r="AH423" t="n">
        <v>1</v>
      </c>
      <c r="AI423" t="n">
        <v>1</v>
      </c>
      <c r="AJ423" t="n">
        <v>0</v>
      </c>
      <c r="AK423" t="n">
        <v>0</v>
      </c>
      <c r="AL423" t="n">
        <v>0</v>
      </c>
      <c r="AM423" t="n">
        <v>0</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HYPERLINK("https://creighton-primo.hosted.exlibrisgroup.com/primo-explore/search?tab=default_tab&amp;search_scope=EVERYTHING&amp;vid=01CRU&amp;lang=en_US&amp;offset=0&amp;query=any,contains,991001451439702656","Catalog Record")</f>
        <v/>
      </c>
      <c r="AT423">
        <f>HYPERLINK("http://www.worldcat.org/oclc/20357167","WorldCat Record")</f>
        <v/>
      </c>
      <c r="AU423" t="inlineStr">
        <is>
          <t>22056552:eng</t>
        </is>
      </c>
      <c r="AV423" t="inlineStr">
        <is>
          <t>20357167</t>
        </is>
      </c>
      <c r="AW423" t="inlineStr">
        <is>
          <t>991001451439702656</t>
        </is>
      </c>
      <c r="AX423" t="inlineStr">
        <is>
          <t>991001451439702656</t>
        </is>
      </c>
      <c r="AY423" t="inlineStr">
        <is>
          <t>2265595670002656</t>
        </is>
      </c>
      <c r="AZ423" t="inlineStr">
        <is>
          <t>BOOK</t>
        </is>
      </c>
      <c r="BB423" t="inlineStr">
        <is>
          <t>9780827330757</t>
        </is>
      </c>
      <c r="BC423" t="inlineStr">
        <is>
          <t>30001001883117</t>
        </is>
      </c>
      <c r="BD423" t="inlineStr">
        <is>
          <t>893460614</t>
        </is>
      </c>
    </row>
    <row r="424">
      <c r="A424" t="inlineStr">
        <is>
          <t>No</t>
        </is>
      </c>
      <c r="B424" t="inlineStr">
        <is>
          <t>QU 145 L348n 1986</t>
        </is>
      </c>
      <c r="C424" t="inlineStr">
        <is>
          <t>0                      QU 0145000L  348n        1986</t>
        </is>
      </c>
      <c r="D424" t="inlineStr">
        <is>
          <t>Nutrition for family and primary care practitioners / Anita B. Lasswell, Daphne A. Roe, Louis Hochheiser.</t>
        </is>
      </c>
      <c r="F424" t="inlineStr">
        <is>
          <t>No</t>
        </is>
      </c>
      <c r="G424" t="inlineStr">
        <is>
          <t>1</t>
        </is>
      </c>
      <c r="H424" t="inlineStr">
        <is>
          <t>No</t>
        </is>
      </c>
      <c r="I424" t="inlineStr">
        <is>
          <t>No</t>
        </is>
      </c>
      <c r="J424" t="inlineStr">
        <is>
          <t>0</t>
        </is>
      </c>
      <c r="K424" t="inlineStr">
        <is>
          <t>Lasswell, Anita B.</t>
        </is>
      </c>
      <c r="L424" t="inlineStr">
        <is>
          <t>Philadelphia : George F. Stickley Company, c1986.</t>
        </is>
      </c>
      <c r="M424" t="inlineStr">
        <is>
          <t>1986</t>
        </is>
      </c>
      <c r="O424" t="inlineStr">
        <is>
          <t>eng</t>
        </is>
      </c>
      <c r="P424" t="inlineStr">
        <is>
          <t>pau</t>
        </is>
      </c>
      <c r="R424" t="inlineStr">
        <is>
          <t xml:space="preserve">QU </t>
        </is>
      </c>
      <c r="S424" t="n">
        <v>4</v>
      </c>
      <c r="T424" t="n">
        <v>4</v>
      </c>
      <c r="U424" t="inlineStr">
        <is>
          <t>1997-04-15</t>
        </is>
      </c>
      <c r="V424" t="inlineStr">
        <is>
          <t>1997-04-15</t>
        </is>
      </c>
      <c r="W424" t="inlineStr">
        <is>
          <t>1988-01-25</t>
        </is>
      </c>
      <c r="X424" t="inlineStr">
        <is>
          <t>1988-01-25</t>
        </is>
      </c>
      <c r="Y424" t="n">
        <v>116</v>
      </c>
      <c r="Z424" t="n">
        <v>107</v>
      </c>
      <c r="AA424" t="n">
        <v>109</v>
      </c>
      <c r="AB424" t="n">
        <v>2</v>
      </c>
      <c r="AC424" t="n">
        <v>2</v>
      </c>
      <c r="AD424" t="n">
        <v>3</v>
      </c>
      <c r="AE424" t="n">
        <v>3</v>
      </c>
      <c r="AF424" t="n">
        <v>1</v>
      </c>
      <c r="AG424" t="n">
        <v>1</v>
      </c>
      <c r="AH424" t="n">
        <v>1</v>
      </c>
      <c r="AI424" t="n">
        <v>1</v>
      </c>
      <c r="AJ424" t="n">
        <v>1</v>
      </c>
      <c r="AK424" t="n">
        <v>1</v>
      </c>
      <c r="AL424" t="n">
        <v>1</v>
      </c>
      <c r="AM424" t="n">
        <v>1</v>
      </c>
      <c r="AN424" t="n">
        <v>0</v>
      </c>
      <c r="AO424" t="n">
        <v>0</v>
      </c>
      <c r="AP424" t="inlineStr">
        <is>
          <t>No</t>
        </is>
      </c>
      <c r="AQ424" t="inlineStr">
        <is>
          <t>Yes</t>
        </is>
      </c>
      <c r="AR424">
        <f>HYPERLINK("http://catalog.hathitrust.org/Record/000478587","HathiTrust Record")</f>
        <v/>
      </c>
      <c r="AS424">
        <f>HYPERLINK("https://creighton-primo.hosted.exlibrisgroup.com/primo-explore/search?tab=default_tab&amp;search_scope=EVERYTHING&amp;vid=01CRU&amp;lang=en_US&amp;offset=0&amp;query=any,contains,991000906739702656","Catalog Record")</f>
        <v/>
      </c>
      <c r="AT424">
        <f>HYPERLINK("http://www.worldcat.org/oclc/13524380","WorldCat Record")</f>
        <v/>
      </c>
      <c r="AU424" t="inlineStr">
        <is>
          <t>7311244:eng</t>
        </is>
      </c>
      <c r="AV424" t="inlineStr">
        <is>
          <t>13524380</t>
        </is>
      </c>
      <c r="AW424" t="inlineStr">
        <is>
          <t>991000906739702656</t>
        </is>
      </c>
      <c r="AX424" t="inlineStr">
        <is>
          <t>991000906739702656</t>
        </is>
      </c>
      <c r="AY424" t="inlineStr">
        <is>
          <t>2268724150002656</t>
        </is>
      </c>
      <c r="AZ424" t="inlineStr">
        <is>
          <t>BOOK</t>
        </is>
      </c>
      <c r="BB424" t="inlineStr">
        <is>
          <t>9780893130428</t>
        </is>
      </c>
      <c r="BC424" t="inlineStr">
        <is>
          <t>30001000177461</t>
        </is>
      </c>
      <c r="BD424" t="inlineStr">
        <is>
          <t>893632460</t>
        </is>
      </c>
    </row>
    <row r="425">
      <c r="A425" t="inlineStr">
        <is>
          <t>No</t>
        </is>
      </c>
      <c r="B425" t="inlineStr">
        <is>
          <t>QU 145 M145n 1978</t>
        </is>
      </c>
      <c r="C425" t="inlineStr">
        <is>
          <t>0                      QU 0145000M  145n        1978</t>
        </is>
      </c>
      <c r="D425" t="inlineStr">
        <is>
          <t>The no-nonsense guide to food and nutrition : the facts for everyone ... by the people who know / Marion McGill, Orrea Pye ; [ill. by Mel Klapholz].</t>
        </is>
      </c>
      <c r="F425" t="inlineStr">
        <is>
          <t>No</t>
        </is>
      </c>
      <c r="G425" t="inlineStr">
        <is>
          <t>1</t>
        </is>
      </c>
      <c r="H425" t="inlineStr">
        <is>
          <t>No</t>
        </is>
      </c>
      <c r="I425" t="inlineStr">
        <is>
          <t>No</t>
        </is>
      </c>
      <c r="J425" t="inlineStr">
        <is>
          <t>0</t>
        </is>
      </c>
      <c r="K425" t="inlineStr">
        <is>
          <t>McGill, Marion.</t>
        </is>
      </c>
      <c r="L425" t="inlineStr">
        <is>
          <t>New York : Butterick Pub., c1978.</t>
        </is>
      </c>
      <c r="M425" t="inlineStr">
        <is>
          <t>1978</t>
        </is>
      </c>
      <c r="O425" t="inlineStr">
        <is>
          <t>eng</t>
        </is>
      </c>
      <c r="P425" t="inlineStr">
        <is>
          <t>nyu</t>
        </is>
      </c>
      <c r="R425" t="inlineStr">
        <is>
          <t xml:space="preserve">QU </t>
        </is>
      </c>
      <c r="S425" t="n">
        <v>6</v>
      </c>
      <c r="T425" t="n">
        <v>6</v>
      </c>
      <c r="U425" t="inlineStr">
        <is>
          <t>1998-02-15</t>
        </is>
      </c>
      <c r="V425" t="inlineStr">
        <is>
          <t>1998-02-15</t>
        </is>
      </c>
      <c r="W425" t="inlineStr">
        <is>
          <t>1988-01-25</t>
        </is>
      </c>
      <c r="X425" t="inlineStr">
        <is>
          <t>1988-01-25</t>
        </is>
      </c>
      <c r="Y425" t="n">
        <v>217</v>
      </c>
      <c r="Z425" t="n">
        <v>203</v>
      </c>
      <c r="AA425" t="n">
        <v>261</v>
      </c>
      <c r="AB425" t="n">
        <v>4</v>
      </c>
      <c r="AC425" t="n">
        <v>4</v>
      </c>
      <c r="AD425" t="n">
        <v>2</v>
      </c>
      <c r="AE425" t="n">
        <v>3</v>
      </c>
      <c r="AF425" t="n">
        <v>0</v>
      </c>
      <c r="AG425" t="n">
        <v>1</v>
      </c>
      <c r="AH425" t="n">
        <v>0</v>
      </c>
      <c r="AI425" t="n">
        <v>0</v>
      </c>
      <c r="AJ425" t="n">
        <v>0</v>
      </c>
      <c r="AK425" t="n">
        <v>0</v>
      </c>
      <c r="AL425" t="n">
        <v>2</v>
      </c>
      <c r="AM425" t="n">
        <v>2</v>
      </c>
      <c r="AN425" t="n">
        <v>0</v>
      </c>
      <c r="AO425" t="n">
        <v>0</v>
      </c>
      <c r="AP425" t="inlineStr">
        <is>
          <t>No</t>
        </is>
      </c>
      <c r="AQ425" t="inlineStr">
        <is>
          <t>Yes</t>
        </is>
      </c>
      <c r="AR425">
        <f>HYPERLINK("http://catalog.hathitrust.org/Record/000176853","HathiTrust Record")</f>
        <v/>
      </c>
      <c r="AS425">
        <f>HYPERLINK("https://creighton-primo.hosted.exlibrisgroup.com/primo-explore/search?tab=default_tab&amp;search_scope=EVERYTHING&amp;vid=01CRU&amp;lang=en_US&amp;offset=0&amp;query=any,contains,991000911609702656","Catalog Record")</f>
        <v/>
      </c>
      <c r="AT425">
        <f>HYPERLINK("http://www.worldcat.org/oclc/4005113","WorldCat Record")</f>
        <v/>
      </c>
      <c r="AU425" t="inlineStr">
        <is>
          <t>399413:eng</t>
        </is>
      </c>
      <c r="AV425" t="inlineStr">
        <is>
          <t>4005113</t>
        </is>
      </c>
      <c r="AW425" t="inlineStr">
        <is>
          <t>991000911609702656</t>
        </is>
      </c>
      <c r="AX425" t="inlineStr">
        <is>
          <t>991000911609702656</t>
        </is>
      </c>
      <c r="AY425" t="inlineStr">
        <is>
          <t>2264833510002656</t>
        </is>
      </c>
      <c r="AZ425" t="inlineStr">
        <is>
          <t>BOOK</t>
        </is>
      </c>
      <c r="BB425" t="inlineStr">
        <is>
          <t>9780884210542</t>
        </is>
      </c>
      <c r="BC425" t="inlineStr">
        <is>
          <t>30001000178204</t>
        </is>
      </c>
      <c r="BD425" t="inlineStr">
        <is>
          <t>893815909</t>
        </is>
      </c>
    </row>
    <row r="426">
      <c r="A426" t="inlineStr">
        <is>
          <t>No</t>
        </is>
      </c>
      <c r="B426" t="inlineStr">
        <is>
          <t>QU145 M6812n 2003</t>
        </is>
      </c>
      <c r="C426" t="inlineStr">
        <is>
          <t>0                      QU 0145000M  6812n       2003</t>
        </is>
      </c>
      <c r="D426" t="inlineStr">
        <is>
          <t>Nutrition across the life span / Mary Kay Mitchell.</t>
        </is>
      </c>
      <c r="F426" t="inlineStr">
        <is>
          <t>No</t>
        </is>
      </c>
      <c r="G426" t="inlineStr">
        <is>
          <t>1</t>
        </is>
      </c>
      <c r="H426" t="inlineStr">
        <is>
          <t>No</t>
        </is>
      </c>
      <c r="I426" t="inlineStr">
        <is>
          <t>No</t>
        </is>
      </c>
      <c r="J426" t="inlineStr">
        <is>
          <t>0</t>
        </is>
      </c>
      <c r="K426" t="inlineStr">
        <is>
          <t>Mitchell, Mary Kay.</t>
        </is>
      </c>
      <c r="L426" t="inlineStr">
        <is>
          <t>Philadelphia, Pa. : Saunders, c2003.</t>
        </is>
      </c>
      <c r="M426" t="inlineStr">
        <is>
          <t>2003</t>
        </is>
      </c>
      <c r="N426" t="inlineStr">
        <is>
          <t>2nd ed.</t>
        </is>
      </c>
      <c r="O426" t="inlineStr">
        <is>
          <t>eng</t>
        </is>
      </c>
      <c r="P426" t="inlineStr">
        <is>
          <t>pau</t>
        </is>
      </c>
      <c r="R426" t="inlineStr">
        <is>
          <t xml:space="preserve">QU </t>
        </is>
      </c>
      <c r="S426" t="n">
        <v>1</v>
      </c>
      <c r="T426" t="n">
        <v>1</v>
      </c>
      <c r="U426" t="inlineStr">
        <is>
          <t>2006-04-18</t>
        </is>
      </c>
      <c r="V426" t="inlineStr">
        <is>
          <t>2006-04-18</t>
        </is>
      </c>
      <c r="W426" t="inlineStr">
        <is>
          <t>2003-02-03</t>
        </is>
      </c>
      <c r="X426" t="inlineStr">
        <is>
          <t>2003-02-03</t>
        </is>
      </c>
      <c r="Y426" t="n">
        <v>366</v>
      </c>
      <c r="Z426" t="n">
        <v>278</v>
      </c>
      <c r="AA426" t="n">
        <v>417</v>
      </c>
      <c r="AB426" t="n">
        <v>3</v>
      </c>
      <c r="AC426" t="n">
        <v>3</v>
      </c>
      <c r="AD426" t="n">
        <v>7</v>
      </c>
      <c r="AE426" t="n">
        <v>15</v>
      </c>
      <c r="AF426" t="n">
        <v>1</v>
      </c>
      <c r="AG426" t="n">
        <v>6</v>
      </c>
      <c r="AH426" t="n">
        <v>2</v>
      </c>
      <c r="AI426" t="n">
        <v>4</v>
      </c>
      <c r="AJ426" t="n">
        <v>5</v>
      </c>
      <c r="AK426" t="n">
        <v>9</v>
      </c>
      <c r="AL426" t="n">
        <v>1</v>
      </c>
      <c r="AM426" t="n">
        <v>1</v>
      </c>
      <c r="AN426" t="n">
        <v>0</v>
      </c>
      <c r="AO426" t="n">
        <v>0</v>
      </c>
      <c r="AP426" t="inlineStr">
        <is>
          <t>No</t>
        </is>
      </c>
      <c r="AQ426" t="inlineStr">
        <is>
          <t>Yes</t>
        </is>
      </c>
      <c r="AR426">
        <f>HYPERLINK("http://catalog.hathitrust.org/Record/004296232","HathiTrust Record")</f>
        <v/>
      </c>
      <c r="AS426">
        <f>HYPERLINK("https://creighton-primo.hosted.exlibrisgroup.com/primo-explore/search?tab=default_tab&amp;search_scope=EVERYTHING&amp;vid=01CRU&amp;lang=en_US&amp;offset=0&amp;query=any,contains,991000338749702656","Catalog Record")</f>
        <v/>
      </c>
      <c r="AT426">
        <f>HYPERLINK("http://www.worldcat.org/oclc/49326920","WorldCat Record")</f>
        <v/>
      </c>
      <c r="AU426" t="inlineStr">
        <is>
          <t>2709781:eng</t>
        </is>
      </c>
      <c r="AV426" t="inlineStr">
        <is>
          <t>49326920</t>
        </is>
      </c>
      <c r="AW426" t="inlineStr">
        <is>
          <t>991000338749702656</t>
        </is>
      </c>
      <c r="AX426" t="inlineStr">
        <is>
          <t>991000338749702656</t>
        </is>
      </c>
      <c r="AY426" t="inlineStr">
        <is>
          <t>2261232150002656</t>
        </is>
      </c>
      <c r="AZ426" t="inlineStr">
        <is>
          <t>BOOK</t>
        </is>
      </c>
      <c r="BB426" t="inlineStr">
        <is>
          <t>9780721692920</t>
        </is>
      </c>
      <c r="BC426" t="inlineStr">
        <is>
          <t>30001004501708</t>
        </is>
      </c>
      <c r="BD426" t="inlineStr">
        <is>
          <t>893537077</t>
        </is>
      </c>
    </row>
    <row r="427">
      <c r="A427" t="inlineStr">
        <is>
          <t>No</t>
        </is>
      </c>
      <c r="B427" t="inlineStr">
        <is>
          <t>QU 145 M689 1989</t>
        </is>
      </c>
      <c r="C427" t="inlineStr">
        <is>
          <t>0                      QU 0145000M  689         1989</t>
        </is>
      </c>
      <c r="D427" t="inlineStr">
        <is>
          <t>Modern lifestyles, lower energy intake, and micronutrient status / edited by Klaus Pietrzik.</t>
        </is>
      </c>
      <c r="F427" t="inlineStr">
        <is>
          <t>No</t>
        </is>
      </c>
      <c r="G427" t="inlineStr">
        <is>
          <t>1</t>
        </is>
      </c>
      <c r="H427" t="inlineStr">
        <is>
          <t>No</t>
        </is>
      </c>
      <c r="I427" t="inlineStr">
        <is>
          <t>No</t>
        </is>
      </c>
      <c r="J427" t="inlineStr">
        <is>
          <t>0</t>
        </is>
      </c>
      <c r="L427" t="inlineStr">
        <is>
          <t>London ; New York : Springer-Verlag, c1991.</t>
        </is>
      </c>
      <c r="M427" t="inlineStr">
        <is>
          <t>1991</t>
        </is>
      </c>
      <c r="O427" t="inlineStr">
        <is>
          <t>eng</t>
        </is>
      </c>
      <c r="P427" t="inlineStr">
        <is>
          <t>enk</t>
        </is>
      </c>
      <c r="Q427" t="inlineStr">
        <is>
          <t>ILSI human nutrition reviews, 0936-4072</t>
        </is>
      </c>
      <c r="R427" t="inlineStr">
        <is>
          <t xml:space="preserve">QU </t>
        </is>
      </c>
      <c r="S427" t="n">
        <v>1</v>
      </c>
      <c r="T427" t="n">
        <v>1</v>
      </c>
      <c r="U427" t="inlineStr">
        <is>
          <t>1998-12-03</t>
        </is>
      </c>
      <c r="V427" t="inlineStr">
        <is>
          <t>1998-12-03</t>
        </is>
      </c>
      <c r="W427" t="inlineStr">
        <is>
          <t>1995-10-17</t>
        </is>
      </c>
      <c r="X427" t="inlineStr">
        <is>
          <t>1995-10-17</t>
        </is>
      </c>
      <c r="Y427" t="n">
        <v>110</v>
      </c>
      <c r="Z427" t="n">
        <v>64</v>
      </c>
      <c r="AA427" t="n">
        <v>89</v>
      </c>
      <c r="AB427" t="n">
        <v>1</v>
      </c>
      <c r="AC427" t="n">
        <v>1</v>
      </c>
      <c r="AD427" t="n">
        <v>1</v>
      </c>
      <c r="AE427" t="n">
        <v>2</v>
      </c>
      <c r="AF427" t="n">
        <v>0</v>
      </c>
      <c r="AG427" t="n">
        <v>1</v>
      </c>
      <c r="AH427" t="n">
        <v>0</v>
      </c>
      <c r="AI427" t="n">
        <v>0</v>
      </c>
      <c r="AJ427" t="n">
        <v>1</v>
      </c>
      <c r="AK427" t="n">
        <v>2</v>
      </c>
      <c r="AL427" t="n">
        <v>0</v>
      </c>
      <c r="AM427" t="n">
        <v>0</v>
      </c>
      <c r="AN427" t="n">
        <v>0</v>
      </c>
      <c r="AO427" t="n">
        <v>0</v>
      </c>
      <c r="AP427" t="inlineStr">
        <is>
          <t>No</t>
        </is>
      </c>
      <c r="AQ427" t="inlineStr">
        <is>
          <t>Yes</t>
        </is>
      </c>
      <c r="AR427">
        <f>HYPERLINK("http://catalog.hathitrust.org/Record/002479877","HathiTrust Record")</f>
        <v/>
      </c>
      <c r="AS427">
        <f>HYPERLINK("https://creighton-primo.hosted.exlibrisgroup.com/primo-explore/search?tab=default_tab&amp;search_scope=EVERYTHING&amp;vid=01CRU&amp;lang=en_US&amp;offset=0&amp;query=any,contains,991001494839702656","Catalog Record")</f>
        <v/>
      </c>
      <c r="AT427">
        <f>HYPERLINK("http://www.worldcat.org/oclc/22109207","WorldCat Record")</f>
        <v/>
      </c>
      <c r="AU427" t="inlineStr">
        <is>
          <t>356154241:eng</t>
        </is>
      </c>
      <c r="AV427" t="inlineStr">
        <is>
          <t>22109207</t>
        </is>
      </c>
      <c r="AW427" t="inlineStr">
        <is>
          <t>991001494839702656</t>
        </is>
      </c>
      <c r="AX427" t="inlineStr">
        <is>
          <t>991001494839702656</t>
        </is>
      </c>
      <c r="AY427" t="inlineStr">
        <is>
          <t>2267865510002656</t>
        </is>
      </c>
      <c r="AZ427" t="inlineStr">
        <is>
          <t>BOOK</t>
        </is>
      </c>
      <c r="BB427" t="inlineStr">
        <is>
          <t>9780387196299</t>
        </is>
      </c>
      <c r="BC427" t="inlineStr">
        <is>
          <t>30001003261304</t>
        </is>
      </c>
      <c r="BD427" t="inlineStr">
        <is>
          <t>893121566</t>
        </is>
      </c>
    </row>
    <row r="428">
      <c r="A428" t="inlineStr">
        <is>
          <t>No</t>
        </is>
      </c>
      <c r="B428" t="inlineStr">
        <is>
          <t>QU 145 M928 1990</t>
        </is>
      </c>
      <c r="C428" t="inlineStr">
        <is>
          <t>0                      QU 0145000M  928         1990</t>
        </is>
      </c>
      <c r="D428" t="inlineStr">
        <is>
          <t>The Mount Sinai School of Medicine complete book of nutrition / Victor Herbert and Genell J. Subak-Sharpe, editors ; Delia A. Hammock, associate editor.</t>
        </is>
      </c>
      <c r="F428" t="inlineStr">
        <is>
          <t>No</t>
        </is>
      </c>
      <c r="G428" t="inlineStr">
        <is>
          <t>1</t>
        </is>
      </c>
      <c r="H428" t="inlineStr">
        <is>
          <t>No</t>
        </is>
      </c>
      <c r="I428" t="inlineStr">
        <is>
          <t>No</t>
        </is>
      </c>
      <c r="J428" t="inlineStr">
        <is>
          <t>0</t>
        </is>
      </c>
      <c r="L428" t="inlineStr">
        <is>
          <t>New York : St. Martin's Press, c1990.</t>
        </is>
      </c>
      <c r="M428" t="inlineStr">
        <is>
          <t>1990</t>
        </is>
      </c>
      <c r="N428" t="inlineStr">
        <is>
          <t>1st ed.</t>
        </is>
      </c>
      <c r="O428" t="inlineStr">
        <is>
          <t>eng</t>
        </is>
      </c>
      <c r="P428" t="inlineStr">
        <is>
          <t>nyu</t>
        </is>
      </c>
      <c r="R428" t="inlineStr">
        <is>
          <t xml:space="preserve">QU </t>
        </is>
      </c>
      <c r="S428" t="n">
        <v>18</v>
      </c>
      <c r="T428" t="n">
        <v>18</v>
      </c>
      <c r="U428" t="inlineStr">
        <is>
          <t>2001-02-26</t>
        </is>
      </c>
      <c r="V428" t="inlineStr">
        <is>
          <t>2001-02-26</t>
        </is>
      </c>
      <c r="W428" t="inlineStr">
        <is>
          <t>1992-01-30</t>
        </is>
      </c>
      <c r="X428" t="inlineStr">
        <is>
          <t>1992-01-30</t>
        </is>
      </c>
      <c r="Y428" t="n">
        <v>658</v>
      </c>
      <c r="Z428" t="n">
        <v>616</v>
      </c>
      <c r="AA428" t="n">
        <v>621</v>
      </c>
      <c r="AB428" t="n">
        <v>4</v>
      </c>
      <c r="AC428" t="n">
        <v>4</v>
      </c>
      <c r="AD428" t="n">
        <v>7</v>
      </c>
      <c r="AE428" t="n">
        <v>7</v>
      </c>
      <c r="AF428" t="n">
        <v>2</v>
      </c>
      <c r="AG428" t="n">
        <v>2</v>
      </c>
      <c r="AH428" t="n">
        <v>1</v>
      </c>
      <c r="AI428" t="n">
        <v>1</v>
      </c>
      <c r="AJ428" t="n">
        <v>4</v>
      </c>
      <c r="AK428" t="n">
        <v>4</v>
      </c>
      <c r="AL428" t="n">
        <v>1</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HYPERLINK("https://creighton-primo.hosted.exlibrisgroup.com/primo-explore/search?tab=default_tab&amp;search_scope=EVERYTHING&amp;vid=01CRU&amp;lang=en_US&amp;offset=0&amp;query=any,contains,991001027949702656","Catalog Record")</f>
        <v/>
      </c>
      <c r="AT428">
        <f>HYPERLINK("http://www.worldcat.org/oclc/21600625","WorldCat Record")</f>
        <v/>
      </c>
      <c r="AU428" t="inlineStr">
        <is>
          <t>55337116:eng</t>
        </is>
      </c>
      <c r="AV428" t="inlineStr">
        <is>
          <t>21600625</t>
        </is>
      </c>
      <c r="AW428" t="inlineStr">
        <is>
          <t>991001027949702656</t>
        </is>
      </c>
      <c r="AX428" t="inlineStr">
        <is>
          <t>991001027949702656</t>
        </is>
      </c>
      <c r="AY428" t="inlineStr">
        <is>
          <t>2260219520002656</t>
        </is>
      </c>
      <c r="AZ428" t="inlineStr">
        <is>
          <t>BOOK</t>
        </is>
      </c>
      <c r="BB428" t="inlineStr">
        <is>
          <t>9780312051297</t>
        </is>
      </c>
      <c r="BC428" t="inlineStr">
        <is>
          <t>30001002243055</t>
        </is>
      </c>
      <c r="BD428" t="inlineStr">
        <is>
          <t>893826391</t>
        </is>
      </c>
    </row>
    <row r="429">
      <c r="A429" t="inlineStr">
        <is>
          <t>No</t>
        </is>
      </c>
      <c r="B429" t="inlineStr">
        <is>
          <t>QU 145 N2795n 1986</t>
        </is>
      </c>
      <c r="C429" t="inlineStr">
        <is>
          <t>0                      QU 0145000N  2795n       1986</t>
        </is>
      </c>
      <c r="D429" t="inlineStr">
        <is>
          <t>Nutritional care of the older adult / Annette B. Natow, Jo-Ann Heslin, with the assistance of Allen J. Natow.</t>
        </is>
      </c>
      <c r="F429" t="inlineStr">
        <is>
          <t>No</t>
        </is>
      </c>
      <c r="G429" t="inlineStr">
        <is>
          <t>1</t>
        </is>
      </c>
      <c r="H429" t="inlineStr">
        <is>
          <t>No</t>
        </is>
      </c>
      <c r="I429" t="inlineStr">
        <is>
          <t>No</t>
        </is>
      </c>
      <c r="J429" t="inlineStr">
        <is>
          <t>0</t>
        </is>
      </c>
      <c r="K429" t="inlineStr">
        <is>
          <t>Natow, Annette B.</t>
        </is>
      </c>
      <c r="L429" t="inlineStr">
        <is>
          <t>New York : Macmillan, c1986.</t>
        </is>
      </c>
      <c r="M429" t="inlineStr">
        <is>
          <t>1986</t>
        </is>
      </c>
      <c r="O429" t="inlineStr">
        <is>
          <t>eng</t>
        </is>
      </c>
      <c r="P429" t="inlineStr">
        <is>
          <t>nyu</t>
        </is>
      </c>
      <c r="R429" t="inlineStr">
        <is>
          <t xml:space="preserve">QU </t>
        </is>
      </c>
      <c r="S429" t="n">
        <v>7</v>
      </c>
      <c r="T429" t="n">
        <v>7</v>
      </c>
      <c r="U429" t="inlineStr">
        <is>
          <t>1995-02-21</t>
        </is>
      </c>
      <c r="V429" t="inlineStr">
        <is>
          <t>1995-02-21</t>
        </is>
      </c>
      <c r="W429" t="inlineStr">
        <is>
          <t>1992-09-25</t>
        </is>
      </c>
      <c r="X429" t="inlineStr">
        <is>
          <t>1992-09-25</t>
        </is>
      </c>
      <c r="Y429" t="n">
        <v>250</v>
      </c>
      <c r="Z429" t="n">
        <v>216</v>
      </c>
      <c r="AA429" t="n">
        <v>218</v>
      </c>
      <c r="AB429" t="n">
        <v>1</v>
      </c>
      <c r="AC429" t="n">
        <v>1</v>
      </c>
      <c r="AD429" t="n">
        <v>7</v>
      </c>
      <c r="AE429" t="n">
        <v>7</v>
      </c>
      <c r="AF429" t="n">
        <v>1</v>
      </c>
      <c r="AG429" t="n">
        <v>1</v>
      </c>
      <c r="AH429" t="n">
        <v>3</v>
      </c>
      <c r="AI429" t="n">
        <v>3</v>
      </c>
      <c r="AJ429" t="n">
        <v>4</v>
      </c>
      <c r="AK429" t="n">
        <v>4</v>
      </c>
      <c r="AL429" t="n">
        <v>0</v>
      </c>
      <c r="AM429" t="n">
        <v>0</v>
      </c>
      <c r="AN429" t="n">
        <v>0</v>
      </c>
      <c r="AO429" t="n">
        <v>0</v>
      </c>
      <c r="AP429" t="inlineStr">
        <is>
          <t>No</t>
        </is>
      </c>
      <c r="AQ429" t="inlineStr">
        <is>
          <t>Yes</t>
        </is>
      </c>
      <c r="AR429">
        <f>HYPERLINK("http://catalog.hathitrust.org/Record/000583936","HathiTrust Record")</f>
        <v/>
      </c>
      <c r="AS429">
        <f>HYPERLINK("https://creighton-primo.hosted.exlibrisgroup.com/primo-explore/search?tab=default_tab&amp;search_scope=EVERYTHING&amp;vid=01CRU&amp;lang=en_US&amp;offset=0&amp;query=any,contains,991001345259702656","Catalog Record")</f>
        <v/>
      </c>
      <c r="AT429">
        <f>HYPERLINK("http://www.worldcat.org/oclc/12808033","WorldCat Record")</f>
        <v/>
      </c>
      <c r="AU429" t="inlineStr">
        <is>
          <t>5424452:eng</t>
        </is>
      </c>
      <c r="AV429" t="inlineStr">
        <is>
          <t>12808033</t>
        </is>
      </c>
      <c r="AW429" t="inlineStr">
        <is>
          <t>991001345259702656</t>
        </is>
      </c>
      <c r="AX429" t="inlineStr">
        <is>
          <t>991001345259702656</t>
        </is>
      </c>
      <c r="AY429" t="inlineStr">
        <is>
          <t>2259673290002656</t>
        </is>
      </c>
      <c r="AZ429" t="inlineStr">
        <is>
          <t>BOOK</t>
        </is>
      </c>
      <c r="BB429" t="inlineStr">
        <is>
          <t>9780023862007</t>
        </is>
      </c>
      <c r="BC429" t="inlineStr">
        <is>
          <t>30001002457036</t>
        </is>
      </c>
      <c r="BD429" t="inlineStr">
        <is>
          <t>893731937</t>
        </is>
      </c>
    </row>
    <row r="430">
      <c r="A430" t="inlineStr">
        <is>
          <t>No</t>
        </is>
      </c>
      <c r="B430" t="inlineStr">
        <is>
          <t>QU 145 N671n 1992</t>
        </is>
      </c>
      <c r="C430" t="inlineStr">
        <is>
          <t>0                      QU 0145000N  671n        1992</t>
        </is>
      </c>
      <c r="D430" t="inlineStr">
        <is>
          <t>Nutrition / David C. Nieman, Diane E. Butterworth, Catherine N. Nieman.</t>
        </is>
      </c>
      <c r="F430" t="inlineStr">
        <is>
          <t>No</t>
        </is>
      </c>
      <c r="G430" t="inlineStr">
        <is>
          <t>1</t>
        </is>
      </c>
      <c r="H430" t="inlineStr">
        <is>
          <t>No</t>
        </is>
      </c>
      <c r="I430" t="inlineStr">
        <is>
          <t>No</t>
        </is>
      </c>
      <c r="J430" t="inlineStr">
        <is>
          <t>0</t>
        </is>
      </c>
      <c r="K430" t="inlineStr">
        <is>
          <t>Nieman, David C., 1950-</t>
        </is>
      </c>
      <c r="L430" t="inlineStr">
        <is>
          <t>Dubuque, IA : W.C. Brown, [1991], c1992.</t>
        </is>
      </c>
      <c r="M430" t="inlineStr">
        <is>
          <t>1991</t>
        </is>
      </c>
      <c r="N430" t="inlineStr">
        <is>
          <t>Rev. 1st ed.</t>
        </is>
      </c>
      <c r="O430" t="inlineStr">
        <is>
          <t>eng</t>
        </is>
      </c>
      <c r="P430" t="inlineStr">
        <is>
          <t>iau</t>
        </is>
      </c>
      <c r="R430" t="inlineStr">
        <is>
          <t xml:space="preserve">QU </t>
        </is>
      </c>
      <c r="S430" t="n">
        <v>21</v>
      </c>
      <c r="T430" t="n">
        <v>21</v>
      </c>
      <c r="U430" t="inlineStr">
        <is>
          <t>1995-04-11</t>
        </is>
      </c>
      <c r="V430" t="inlineStr">
        <is>
          <t>1995-04-11</t>
        </is>
      </c>
      <c r="W430" t="inlineStr">
        <is>
          <t>1991-12-03</t>
        </is>
      </c>
      <c r="X430" t="inlineStr">
        <is>
          <t>1991-12-03</t>
        </is>
      </c>
      <c r="Y430" t="n">
        <v>96</v>
      </c>
      <c r="Z430" t="n">
        <v>73</v>
      </c>
      <c r="AA430" t="n">
        <v>150</v>
      </c>
      <c r="AB430" t="n">
        <v>1</v>
      </c>
      <c r="AC430" t="n">
        <v>2</v>
      </c>
      <c r="AD430" t="n">
        <v>1</v>
      </c>
      <c r="AE430" t="n">
        <v>3</v>
      </c>
      <c r="AF430" t="n">
        <v>1</v>
      </c>
      <c r="AG430" t="n">
        <v>2</v>
      </c>
      <c r="AH430" t="n">
        <v>0</v>
      </c>
      <c r="AI430" t="n">
        <v>0</v>
      </c>
      <c r="AJ430" t="n">
        <v>0</v>
      </c>
      <c r="AK430" t="n">
        <v>0</v>
      </c>
      <c r="AL430" t="n">
        <v>0</v>
      </c>
      <c r="AM430" t="n">
        <v>1</v>
      </c>
      <c r="AN430" t="n">
        <v>0</v>
      </c>
      <c r="AO430" t="n">
        <v>0</v>
      </c>
      <c r="AP430" t="inlineStr">
        <is>
          <t>No</t>
        </is>
      </c>
      <c r="AQ430" t="inlineStr">
        <is>
          <t>Yes</t>
        </is>
      </c>
      <c r="AR430">
        <f>HYPERLINK("http://catalog.hathitrust.org/Record/009179133","HathiTrust Record")</f>
        <v/>
      </c>
      <c r="AS430">
        <f>HYPERLINK("https://creighton-primo.hosted.exlibrisgroup.com/primo-explore/search?tab=default_tab&amp;search_scope=EVERYTHING&amp;vid=01CRU&amp;lang=en_US&amp;offset=0&amp;query=any,contains,991000950519702656","Catalog Record")</f>
        <v/>
      </c>
      <c r="AT430">
        <f>HYPERLINK("http://www.worldcat.org/oclc/26768544","WorldCat Record")</f>
        <v/>
      </c>
      <c r="AU430" t="inlineStr">
        <is>
          <t>22712331:eng</t>
        </is>
      </c>
      <c r="AV430" t="inlineStr">
        <is>
          <t>26768544</t>
        </is>
      </c>
      <c r="AW430" t="inlineStr">
        <is>
          <t>991000950519702656</t>
        </is>
      </c>
      <c r="AX430" t="inlineStr">
        <is>
          <t>991000950519702656</t>
        </is>
      </c>
      <c r="AY430" t="inlineStr">
        <is>
          <t>2264869830002656</t>
        </is>
      </c>
      <c r="AZ430" t="inlineStr">
        <is>
          <t>BOOK</t>
        </is>
      </c>
      <c r="BB430" t="inlineStr">
        <is>
          <t>9780697122452</t>
        </is>
      </c>
      <c r="BC430" t="inlineStr">
        <is>
          <t>30001002194837</t>
        </is>
      </c>
      <c r="BD430" t="inlineStr">
        <is>
          <t>893121048</t>
        </is>
      </c>
    </row>
    <row r="431">
      <c r="A431" t="inlineStr">
        <is>
          <t>No</t>
        </is>
      </c>
      <c r="B431" t="inlineStr">
        <is>
          <t>QU 145 N97155 1985</t>
        </is>
      </c>
      <c r="C431" t="inlineStr">
        <is>
          <t>0                      QU 0145000N  97155       1985</t>
        </is>
      </c>
      <c r="D431" t="inlineStr">
        <is>
          <t>Nutrition and aging / edited by Martha L. Hutchinson, Hamish N. Munro.</t>
        </is>
      </c>
      <c r="F431" t="inlineStr">
        <is>
          <t>No</t>
        </is>
      </c>
      <c r="G431" t="inlineStr">
        <is>
          <t>1</t>
        </is>
      </c>
      <c r="H431" t="inlineStr">
        <is>
          <t>No</t>
        </is>
      </c>
      <c r="I431" t="inlineStr">
        <is>
          <t>No</t>
        </is>
      </c>
      <c r="J431" t="inlineStr">
        <is>
          <t>0</t>
        </is>
      </c>
      <c r="L431" t="inlineStr">
        <is>
          <t>Orlando : Academic Press, c1986.</t>
        </is>
      </c>
      <c r="M431" t="inlineStr">
        <is>
          <t>1986</t>
        </is>
      </c>
      <c r="O431" t="inlineStr">
        <is>
          <t>eng</t>
        </is>
      </c>
      <c r="P431" t="inlineStr">
        <is>
          <t>xxu</t>
        </is>
      </c>
      <c r="Q431" t="inlineStr">
        <is>
          <t>Bristol-Myers nutrition symposia ; v. 5</t>
        </is>
      </c>
      <c r="R431" t="inlineStr">
        <is>
          <t xml:space="preserve">QU </t>
        </is>
      </c>
      <c r="S431" t="n">
        <v>6</v>
      </c>
      <c r="T431" t="n">
        <v>6</v>
      </c>
      <c r="U431" t="inlineStr">
        <is>
          <t>1997-10-05</t>
        </is>
      </c>
      <c r="V431" t="inlineStr">
        <is>
          <t>1997-10-05</t>
        </is>
      </c>
      <c r="W431" t="inlineStr">
        <is>
          <t>1988-01-25</t>
        </is>
      </c>
      <c r="X431" t="inlineStr">
        <is>
          <t>1988-01-25</t>
        </is>
      </c>
      <c r="Y431" t="n">
        <v>309</v>
      </c>
      <c r="Z431" t="n">
        <v>236</v>
      </c>
      <c r="AA431" t="n">
        <v>267</v>
      </c>
      <c r="AB431" t="n">
        <v>4</v>
      </c>
      <c r="AC431" t="n">
        <v>4</v>
      </c>
      <c r="AD431" t="n">
        <v>10</v>
      </c>
      <c r="AE431" t="n">
        <v>12</v>
      </c>
      <c r="AF431" t="n">
        <v>2</v>
      </c>
      <c r="AG431" t="n">
        <v>3</v>
      </c>
      <c r="AH431" t="n">
        <v>4</v>
      </c>
      <c r="AI431" t="n">
        <v>5</v>
      </c>
      <c r="AJ431" t="n">
        <v>5</v>
      </c>
      <c r="AK431" t="n">
        <v>5</v>
      </c>
      <c r="AL431" t="n">
        <v>3</v>
      </c>
      <c r="AM431" t="n">
        <v>3</v>
      </c>
      <c r="AN431" t="n">
        <v>0</v>
      </c>
      <c r="AO431" t="n">
        <v>0</v>
      </c>
      <c r="AP431" t="inlineStr">
        <is>
          <t>No</t>
        </is>
      </c>
      <c r="AQ431" t="inlineStr">
        <is>
          <t>Yes</t>
        </is>
      </c>
      <c r="AR431">
        <f>HYPERLINK("http://catalog.hathitrust.org/Record/000819469","HathiTrust Record")</f>
        <v/>
      </c>
      <c r="AS431">
        <f>HYPERLINK("https://creighton-primo.hosted.exlibrisgroup.com/primo-explore/search?tab=default_tab&amp;search_scope=EVERYTHING&amp;vid=01CRU&amp;lang=en_US&amp;offset=0&amp;query=any,contains,991000909249702656","Catalog Record")</f>
        <v/>
      </c>
      <c r="AT431">
        <f>HYPERLINK("http://www.worldcat.org/oclc/13760882","WorldCat Record")</f>
        <v/>
      </c>
      <c r="AU431" t="inlineStr">
        <is>
          <t>356058522:eng</t>
        </is>
      </c>
      <c r="AV431" t="inlineStr">
        <is>
          <t>13760882</t>
        </is>
      </c>
      <c r="AW431" t="inlineStr">
        <is>
          <t>991000909249702656</t>
        </is>
      </c>
      <c r="AX431" t="inlineStr">
        <is>
          <t>991000909249702656</t>
        </is>
      </c>
      <c r="AY431" t="inlineStr">
        <is>
          <t>2271402410002656</t>
        </is>
      </c>
      <c r="AZ431" t="inlineStr">
        <is>
          <t>BOOK</t>
        </is>
      </c>
      <c r="BB431" t="inlineStr">
        <is>
          <t>9780123628756</t>
        </is>
      </c>
      <c r="BC431" t="inlineStr">
        <is>
          <t>30001000177800</t>
        </is>
      </c>
      <c r="BD431" t="inlineStr">
        <is>
          <t>893834488</t>
        </is>
      </c>
    </row>
    <row r="432">
      <c r="A432" t="inlineStr">
        <is>
          <t>No</t>
        </is>
      </c>
      <c r="B432" t="inlineStr">
        <is>
          <t>QU 145 N97536 1991</t>
        </is>
      </c>
      <c r="C432" t="inlineStr">
        <is>
          <t>0                      QU 0145000N  97536       1991</t>
        </is>
      </c>
      <c r="D432" t="inlineStr">
        <is>
          <t>Nutrition of the elderly / editors, Hamish Munro, Günter Schlierf.</t>
        </is>
      </c>
      <c r="F432" t="inlineStr">
        <is>
          <t>No</t>
        </is>
      </c>
      <c r="G432" t="inlineStr">
        <is>
          <t>1</t>
        </is>
      </c>
      <c r="H432" t="inlineStr">
        <is>
          <t>No</t>
        </is>
      </c>
      <c r="I432" t="inlineStr">
        <is>
          <t>No</t>
        </is>
      </c>
      <c r="J432" t="inlineStr">
        <is>
          <t>0</t>
        </is>
      </c>
      <c r="L432" t="inlineStr">
        <is>
          <t>Vevey, Switzerland : Nestlé Nutrition Services ; New York : Raven Press, c1992.</t>
        </is>
      </c>
      <c r="M432" t="inlineStr">
        <is>
          <t>1992</t>
        </is>
      </c>
      <c r="O432" t="inlineStr">
        <is>
          <t>eng</t>
        </is>
      </c>
      <c r="P432" t="inlineStr">
        <is>
          <t xml:space="preserve">sz </t>
        </is>
      </c>
      <c r="Q432" t="inlineStr">
        <is>
          <t>Nestlé Nutrition workshop series ; v. 29</t>
        </is>
      </c>
      <c r="R432" t="inlineStr">
        <is>
          <t xml:space="preserve">QU </t>
        </is>
      </c>
      <c r="S432" t="n">
        <v>9</v>
      </c>
      <c r="T432" t="n">
        <v>9</v>
      </c>
      <c r="U432" t="inlineStr">
        <is>
          <t>2002-02-26</t>
        </is>
      </c>
      <c r="V432" t="inlineStr">
        <is>
          <t>2002-02-26</t>
        </is>
      </c>
      <c r="W432" t="inlineStr">
        <is>
          <t>1992-04-29</t>
        </is>
      </c>
      <c r="X432" t="inlineStr">
        <is>
          <t>1992-04-29</t>
        </is>
      </c>
      <c r="Y432" t="n">
        <v>206</v>
      </c>
      <c r="Z432" t="n">
        <v>155</v>
      </c>
      <c r="AA432" t="n">
        <v>164</v>
      </c>
      <c r="AB432" t="n">
        <v>2</v>
      </c>
      <c r="AC432" t="n">
        <v>2</v>
      </c>
      <c r="AD432" t="n">
        <v>6</v>
      </c>
      <c r="AE432" t="n">
        <v>6</v>
      </c>
      <c r="AF432" t="n">
        <v>0</v>
      </c>
      <c r="AG432" t="n">
        <v>0</v>
      </c>
      <c r="AH432" t="n">
        <v>4</v>
      </c>
      <c r="AI432" t="n">
        <v>4</v>
      </c>
      <c r="AJ432" t="n">
        <v>2</v>
      </c>
      <c r="AK432" t="n">
        <v>2</v>
      </c>
      <c r="AL432" t="n">
        <v>1</v>
      </c>
      <c r="AM432" t="n">
        <v>1</v>
      </c>
      <c r="AN432" t="n">
        <v>0</v>
      </c>
      <c r="AO432" t="n">
        <v>0</v>
      </c>
      <c r="AP432" t="inlineStr">
        <is>
          <t>No</t>
        </is>
      </c>
      <c r="AQ432" t="inlineStr">
        <is>
          <t>Yes</t>
        </is>
      </c>
      <c r="AR432">
        <f>HYPERLINK("http://catalog.hathitrust.org/Record/002545302","HathiTrust Record")</f>
        <v/>
      </c>
      <c r="AS432">
        <f>HYPERLINK("https://creighton-primo.hosted.exlibrisgroup.com/primo-explore/search?tab=default_tab&amp;search_scope=EVERYTHING&amp;vid=01CRU&amp;lang=en_US&amp;offset=0&amp;query=any,contains,991001303399702656","Catalog Record")</f>
        <v/>
      </c>
      <c r="AT432">
        <f>HYPERLINK("http://www.worldcat.org/oclc/24668590","WorldCat Record")</f>
        <v/>
      </c>
      <c r="AU432" t="inlineStr">
        <is>
          <t>358283427:eng</t>
        </is>
      </c>
      <c r="AV432" t="inlineStr">
        <is>
          <t>24668590</t>
        </is>
      </c>
      <c r="AW432" t="inlineStr">
        <is>
          <t>991001303399702656</t>
        </is>
      </c>
      <c r="AX432" t="inlineStr">
        <is>
          <t>991001303399702656</t>
        </is>
      </c>
      <c r="AY432" t="inlineStr">
        <is>
          <t>2256971750002656</t>
        </is>
      </c>
      <c r="AZ432" t="inlineStr">
        <is>
          <t>BOOK</t>
        </is>
      </c>
      <c r="BB432" t="inlineStr">
        <is>
          <t>9780881678741</t>
        </is>
      </c>
      <c r="BC432" t="inlineStr">
        <is>
          <t>30001002412726</t>
        </is>
      </c>
      <c r="BD432" t="inlineStr">
        <is>
          <t>893455677</t>
        </is>
      </c>
    </row>
    <row r="433">
      <c r="A433" t="inlineStr">
        <is>
          <t>No</t>
        </is>
      </c>
      <c r="B433" t="inlineStr">
        <is>
          <t>QU 145 N976 1987</t>
        </is>
      </c>
      <c r="C433" t="inlineStr">
        <is>
          <t>0                      QU 0145000N  976         1987</t>
        </is>
      </c>
      <c r="D433" t="inlineStr">
        <is>
          <t>Nutritional anthropology / editor, Francis E. Johnston.</t>
        </is>
      </c>
      <c r="F433" t="inlineStr">
        <is>
          <t>No</t>
        </is>
      </c>
      <c r="G433" t="inlineStr">
        <is>
          <t>1</t>
        </is>
      </c>
      <c r="H433" t="inlineStr">
        <is>
          <t>No</t>
        </is>
      </c>
      <c r="I433" t="inlineStr">
        <is>
          <t>No</t>
        </is>
      </c>
      <c r="J433" t="inlineStr">
        <is>
          <t>0</t>
        </is>
      </c>
      <c r="L433" t="inlineStr">
        <is>
          <t>New York : A.R. Liss, c1987.</t>
        </is>
      </c>
      <c r="M433" t="inlineStr">
        <is>
          <t>1987</t>
        </is>
      </c>
      <c r="O433" t="inlineStr">
        <is>
          <t>eng</t>
        </is>
      </c>
      <c r="P433" t="inlineStr">
        <is>
          <t>nyu</t>
        </is>
      </c>
      <c r="R433" t="inlineStr">
        <is>
          <t xml:space="preserve">QU </t>
        </is>
      </c>
      <c r="S433" t="n">
        <v>4</v>
      </c>
      <c r="T433" t="n">
        <v>4</v>
      </c>
      <c r="U433" t="inlineStr">
        <is>
          <t>1999-03-20</t>
        </is>
      </c>
      <c r="V433" t="inlineStr">
        <is>
          <t>1999-03-20</t>
        </is>
      </c>
      <c r="W433" t="inlineStr">
        <is>
          <t>1987-11-17</t>
        </is>
      </c>
      <c r="X433" t="inlineStr">
        <is>
          <t>1987-11-17</t>
        </is>
      </c>
      <c r="Y433" t="n">
        <v>320</v>
      </c>
      <c r="Z433" t="n">
        <v>254</v>
      </c>
      <c r="AA433" t="n">
        <v>261</v>
      </c>
      <c r="AB433" t="n">
        <v>3</v>
      </c>
      <c r="AC433" t="n">
        <v>3</v>
      </c>
      <c r="AD433" t="n">
        <v>8</v>
      </c>
      <c r="AE433" t="n">
        <v>8</v>
      </c>
      <c r="AF433" t="n">
        <v>0</v>
      </c>
      <c r="AG433" t="n">
        <v>0</v>
      </c>
      <c r="AH433" t="n">
        <v>3</v>
      </c>
      <c r="AI433" t="n">
        <v>3</v>
      </c>
      <c r="AJ433" t="n">
        <v>4</v>
      </c>
      <c r="AK433" t="n">
        <v>4</v>
      </c>
      <c r="AL433" t="n">
        <v>2</v>
      </c>
      <c r="AM433" t="n">
        <v>2</v>
      </c>
      <c r="AN433" t="n">
        <v>0</v>
      </c>
      <c r="AO433" t="n">
        <v>0</v>
      </c>
      <c r="AP433" t="inlineStr">
        <is>
          <t>No</t>
        </is>
      </c>
      <c r="AQ433" t="inlineStr">
        <is>
          <t>Yes</t>
        </is>
      </c>
      <c r="AR433">
        <f>HYPERLINK("http://catalog.hathitrust.org/Record/000829036","HathiTrust Record")</f>
        <v/>
      </c>
      <c r="AS433">
        <f>HYPERLINK("https://creighton-primo.hosted.exlibrisgroup.com/primo-explore/search?tab=default_tab&amp;search_scope=EVERYTHING&amp;vid=01CRU&amp;lang=en_US&amp;offset=0&amp;query=any,contains,991001530779702656","Catalog Record")</f>
        <v/>
      </c>
      <c r="AT433">
        <f>HYPERLINK("http://www.worldcat.org/oclc/15252580","WorldCat Record")</f>
        <v/>
      </c>
      <c r="AU433" t="inlineStr">
        <is>
          <t>9813497:eng</t>
        </is>
      </c>
      <c r="AV433" t="inlineStr">
        <is>
          <t>15252580</t>
        </is>
      </c>
      <c r="AW433" t="inlineStr">
        <is>
          <t>991001530779702656</t>
        </is>
      </c>
      <c r="AX433" t="inlineStr">
        <is>
          <t>991001530779702656</t>
        </is>
      </c>
      <c r="AY433" t="inlineStr">
        <is>
          <t>2254825520002656</t>
        </is>
      </c>
      <c r="AZ433" t="inlineStr">
        <is>
          <t>BOOK</t>
        </is>
      </c>
      <c r="BB433" t="inlineStr">
        <is>
          <t>9780845142165</t>
        </is>
      </c>
      <c r="BC433" t="inlineStr">
        <is>
          <t>30001000621468</t>
        </is>
      </c>
      <c r="BD433" t="inlineStr">
        <is>
          <t>893374691</t>
        </is>
      </c>
    </row>
    <row r="434">
      <c r="A434" t="inlineStr">
        <is>
          <t>No</t>
        </is>
      </c>
      <c r="B434" t="inlineStr">
        <is>
          <t>QU 145 N976 1988</t>
        </is>
      </c>
      <c r="C434" t="inlineStr">
        <is>
          <t>0                      QU 0145000N  976         1988</t>
        </is>
      </c>
      <c r="D434" t="inlineStr">
        <is>
          <t>Nutrition education : program evaluation handbook / prepared for the Center for Health Promotion and Education, United States Centers for Disease Control, the Office of Disease Prevention and Health Promotion, Office of the Assistant Secretary for Health, United States Dept. of Health and Human Services by IOX Assessment Associates.</t>
        </is>
      </c>
      <c r="F434" t="inlineStr">
        <is>
          <t>No</t>
        </is>
      </c>
      <c r="G434" t="inlineStr">
        <is>
          <t>1</t>
        </is>
      </c>
      <c r="H434" t="inlineStr">
        <is>
          <t>No</t>
        </is>
      </c>
      <c r="I434" t="inlineStr">
        <is>
          <t>No</t>
        </is>
      </c>
      <c r="J434" t="inlineStr">
        <is>
          <t>0</t>
        </is>
      </c>
      <c r="L434" t="inlineStr">
        <is>
          <t>Los Angeles, CA. : IOX Assessment Associates, c1988.</t>
        </is>
      </c>
      <c r="M434" t="inlineStr">
        <is>
          <t>1988</t>
        </is>
      </c>
      <c r="N434" t="inlineStr">
        <is>
          <t>[Rev.]</t>
        </is>
      </c>
      <c r="O434" t="inlineStr">
        <is>
          <t>eng</t>
        </is>
      </c>
      <c r="P434" t="inlineStr">
        <is>
          <t>cau</t>
        </is>
      </c>
      <c r="R434" t="inlineStr">
        <is>
          <t xml:space="preserve">QU </t>
        </is>
      </c>
      <c r="S434" t="n">
        <v>9</v>
      </c>
      <c r="T434" t="n">
        <v>9</v>
      </c>
      <c r="U434" t="inlineStr">
        <is>
          <t>1991-11-12</t>
        </is>
      </c>
      <c r="V434" t="inlineStr">
        <is>
          <t>1991-11-12</t>
        </is>
      </c>
      <c r="W434" t="inlineStr">
        <is>
          <t>1989-01-16</t>
        </is>
      </c>
      <c r="X434" t="inlineStr">
        <is>
          <t>1989-01-16</t>
        </is>
      </c>
      <c r="Y434" t="n">
        <v>41</v>
      </c>
      <c r="Z434" t="n">
        <v>38</v>
      </c>
      <c r="AA434" t="n">
        <v>46</v>
      </c>
      <c r="AB434" t="n">
        <v>1</v>
      </c>
      <c r="AC434" t="n">
        <v>1</v>
      </c>
      <c r="AD434" t="n">
        <v>0</v>
      </c>
      <c r="AE434" t="n">
        <v>0</v>
      </c>
      <c r="AF434" t="n">
        <v>0</v>
      </c>
      <c r="AG434" t="n">
        <v>0</v>
      </c>
      <c r="AH434" t="n">
        <v>0</v>
      </c>
      <c r="AI434" t="n">
        <v>0</v>
      </c>
      <c r="AJ434" t="n">
        <v>0</v>
      </c>
      <c r="AK434" t="n">
        <v>0</v>
      </c>
      <c r="AL434" t="n">
        <v>0</v>
      </c>
      <c r="AM434" t="n">
        <v>0</v>
      </c>
      <c r="AN434" t="n">
        <v>0</v>
      </c>
      <c r="AO434" t="n">
        <v>0</v>
      </c>
      <c r="AP434" t="inlineStr">
        <is>
          <t>Yes</t>
        </is>
      </c>
      <c r="AQ434" t="inlineStr">
        <is>
          <t>No</t>
        </is>
      </c>
      <c r="AR434">
        <f>HYPERLINK("http://catalog.hathitrust.org/Record/009147614","HathiTrust Record")</f>
        <v/>
      </c>
      <c r="AS434">
        <f>HYPERLINK("https://creighton-primo.hosted.exlibrisgroup.com/primo-explore/search?tab=default_tab&amp;search_scope=EVERYTHING&amp;vid=01CRU&amp;lang=en_US&amp;offset=0&amp;query=any,contains,991001110389702656","Catalog Record")</f>
        <v/>
      </c>
      <c r="AT434">
        <f>HYPERLINK("http://www.worldcat.org/oclc/19565958","WorldCat Record")</f>
        <v/>
      </c>
      <c r="AU434" t="inlineStr">
        <is>
          <t>3856304671:eng</t>
        </is>
      </c>
      <c r="AV434" t="inlineStr">
        <is>
          <t>19565958</t>
        </is>
      </c>
      <c r="AW434" t="inlineStr">
        <is>
          <t>991001110389702656</t>
        </is>
      </c>
      <c r="AX434" t="inlineStr">
        <is>
          <t>991001110389702656</t>
        </is>
      </c>
      <c r="AY434" t="inlineStr">
        <is>
          <t>2264282120002656</t>
        </is>
      </c>
      <c r="AZ434" t="inlineStr">
        <is>
          <t>BOOK</t>
        </is>
      </c>
      <c r="BC434" t="inlineStr">
        <is>
          <t>30001001611971</t>
        </is>
      </c>
      <c r="BD434" t="inlineStr">
        <is>
          <t>893455482</t>
        </is>
      </c>
    </row>
    <row r="435">
      <c r="A435" t="inlineStr">
        <is>
          <t>No</t>
        </is>
      </c>
      <c r="B435" t="inlineStr">
        <is>
          <t>QU 145 N976 1991</t>
        </is>
      </c>
      <c r="C435" t="inlineStr">
        <is>
          <t>0                      QU 0145000N  976         1991</t>
        </is>
      </c>
      <c r="D435" t="inlineStr">
        <is>
          <t>Nutrition in the '90s : current controversies and analysis / edited by Gerald E. Gaull, Frank N. Kotsonis, Maureen A. Mackey.</t>
        </is>
      </c>
      <c r="F435" t="inlineStr">
        <is>
          <t>No</t>
        </is>
      </c>
      <c r="G435" t="inlineStr">
        <is>
          <t>1</t>
        </is>
      </c>
      <c r="H435" t="inlineStr">
        <is>
          <t>No</t>
        </is>
      </c>
      <c r="I435" t="inlineStr">
        <is>
          <t>No</t>
        </is>
      </c>
      <c r="J435" t="inlineStr">
        <is>
          <t>0</t>
        </is>
      </c>
      <c r="L435" t="inlineStr">
        <is>
          <t>New York : M. Dekker, c1991.</t>
        </is>
      </c>
      <c r="M435" t="inlineStr">
        <is>
          <t>1991</t>
        </is>
      </c>
      <c r="O435" t="inlineStr">
        <is>
          <t>eng</t>
        </is>
      </c>
      <c r="P435" t="inlineStr">
        <is>
          <t>nyu</t>
        </is>
      </c>
      <c r="R435" t="inlineStr">
        <is>
          <t xml:space="preserve">QU </t>
        </is>
      </c>
      <c r="S435" t="n">
        <v>13</v>
      </c>
      <c r="T435" t="n">
        <v>13</v>
      </c>
      <c r="U435" t="inlineStr">
        <is>
          <t>1997-10-11</t>
        </is>
      </c>
      <c r="V435" t="inlineStr">
        <is>
          <t>1997-10-11</t>
        </is>
      </c>
      <c r="W435" t="inlineStr">
        <is>
          <t>1991-05-30</t>
        </is>
      </c>
      <c r="X435" t="inlineStr">
        <is>
          <t>1991-05-30</t>
        </is>
      </c>
      <c r="Y435" t="n">
        <v>268</v>
      </c>
      <c r="Z435" t="n">
        <v>216</v>
      </c>
      <c r="AA435" t="n">
        <v>286</v>
      </c>
      <c r="AB435" t="n">
        <v>1</v>
      </c>
      <c r="AC435" t="n">
        <v>1</v>
      </c>
      <c r="AD435" t="n">
        <v>4</v>
      </c>
      <c r="AE435" t="n">
        <v>7</v>
      </c>
      <c r="AF435" t="n">
        <v>1</v>
      </c>
      <c r="AG435" t="n">
        <v>3</v>
      </c>
      <c r="AH435" t="n">
        <v>1</v>
      </c>
      <c r="AI435" t="n">
        <v>2</v>
      </c>
      <c r="AJ435" t="n">
        <v>2</v>
      </c>
      <c r="AK435" t="n">
        <v>4</v>
      </c>
      <c r="AL435" t="n">
        <v>0</v>
      </c>
      <c r="AM435" t="n">
        <v>0</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HYPERLINK("https://creighton-primo.hosted.exlibrisgroup.com/primo-explore/search?tab=default_tab&amp;search_scope=EVERYTHING&amp;vid=01CRU&amp;lang=en_US&amp;offset=0&amp;query=any,contains,991000938259702656","Catalog Record")</f>
        <v/>
      </c>
      <c r="AT435">
        <f>HYPERLINK("http://www.worldcat.org/oclc/22892595","WorldCat Record")</f>
        <v/>
      </c>
      <c r="AU435" t="inlineStr">
        <is>
          <t>799517079:eng</t>
        </is>
      </c>
      <c r="AV435" t="inlineStr">
        <is>
          <t>22892595</t>
        </is>
      </c>
      <c r="AW435" t="inlineStr">
        <is>
          <t>991000938259702656</t>
        </is>
      </c>
      <c r="AX435" t="inlineStr">
        <is>
          <t>991000938259702656</t>
        </is>
      </c>
      <c r="AY435" t="inlineStr">
        <is>
          <t>2267342100002656</t>
        </is>
      </c>
      <c r="AZ435" t="inlineStr">
        <is>
          <t>BOOK</t>
        </is>
      </c>
      <c r="BB435" t="inlineStr">
        <is>
          <t>9780824785253</t>
        </is>
      </c>
      <c r="BC435" t="inlineStr">
        <is>
          <t>30001002191742</t>
        </is>
      </c>
      <c r="BD435" t="inlineStr">
        <is>
          <t>893740594</t>
        </is>
      </c>
    </row>
    <row r="436">
      <c r="A436" t="inlineStr">
        <is>
          <t>No</t>
        </is>
      </c>
      <c r="B436" t="inlineStr">
        <is>
          <t>QU 145 N9763 1985</t>
        </is>
      </c>
      <c r="C436" t="inlineStr">
        <is>
          <t>0                      QU 0145000N  9763        1985</t>
        </is>
      </c>
      <c r="D436" t="inlineStr">
        <is>
          <t>Nutritional biochemistry and metabolism : with clinical applications / edited by Maria C. Linder ; with a foreword by Hamish N. Munro.</t>
        </is>
      </c>
      <c r="F436" t="inlineStr">
        <is>
          <t>No</t>
        </is>
      </c>
      <c r="G436" t="inlineStr">
        <is>
          <t>1</t>
        </is>
      </c>
      <c r="H436" t="inlineStr">
        <is>
          <t>No</t>
        </is>
      </c>
      <c r="I436" t="inlineStr">
        <is>
          <t>No</t>
        </is>
      </c>
      <c r="J436" t="inlineStr">
        <is>
          <t>0</t>
        </is>
      </c>
      <c r="L436" t="inlineStr">
        <is>
          <t>New York : Elsevier, c1985.</t>
        </is>
      </c>
      <c r="M436" t="inlineStr">
        <is>
          <t>1985</t>
        </is>
      </c>
      <c r="O436" t="inlineStr">
        <is>
          <t>eng</t>
        </is>
      </c>
      <c r="P436" t="inlineStr">
        <is>
          <t>nyu</t>
        </is>
      </c>
      <c r="R436" t="inlineStr">
        <is>
          <t xml:space="preserve">QU </t>
        </is>
      </c>
      <c r="S436" t="n">
        <v>24</v>
      </c>
      <c r="T436" t="n">
        <v>24</v>
      </c>
      <c r="U436" t="inlineStr">
        <is>
          <t>1992-11-18</t>
        </is>
      </c>
      <c r="V436" t="inlineStr">
        <is>
          <t>1992-11-18</t>
        </is>
      </c>
      <c r="W436" t="inlineStr">
        <is>
          <t>1988-01-25</t>
        </is>
      </c>
      <c r="X436" t="inlineStr">
        <is>
          <t>1988-01-25</t>
        </is>
      </c>
      <c r="Y436" t="n">
        <v>298</v>
      </c>
      <c r="Z436" t="n">
        <v>229</v>
      </c>
      <c r="AA436" t="n">
        <v>335</v>
      </c>
      <c r="AB436" t="n">
        <v>2</v>
      </c>
      <c r="AC436" t="n">
        <v>3</v>
      </c>
      <c r="AD436" t="n">
        <v>12</v>
      </c>
      <c r="AE436" t="n">
        <v>21</v>
      </c>
      <c r="AF436" t="n">
        <v>3</v>
      </c>
      <c r="AG436" t="n">
        <v>7</v>
      </c>
      <c r="AH436" t="n">
        <v>4</v>
      </c>
      <c r="AI436" t="n">
        <v>5</v>
      </c>
      <c r="AJ436" t="n">
        <v>8</v>
      </c>
      <c r="AK436" t="n">
        <v>13</v>
      </c>
      <c r="AL436" t="n">
        <v>1</v>
      </c>
      <c r="AM436" t="n">
        <v>2</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HYPERLINK("https://creighton-primo.hosted.exlibrisgroup.com/primo-explore/search?tab=default_tab&amp;search_scope=EVERYTHING&amp;vid=01CRU&amp;lang=en_US&amp;offset=0&amp;query=any,contains,991000908819702656","Catalog Record")</f>
        <v/>
      </c>
      <c r="AT436">
        <f>HYPERLINK("http://www.worldcat.org/oclc/10753000","WorldCat Record")</f>
        <v/>
      </c>
      <c r="AU436" t="inlineStr">
        <is>
          <t>836665206:eng</t>
        </is>
      </c>
      <c r="AV436" t="inlineStr">
        <is>
          <t>10753000</t>
        </is>
      </c>
      <c r="AW436" t="inlineStr">
        <is>
          <t>991000908819702656</t>
        </is>
      </c>
      <c r="AX436" t="inlineStr">
        <is>
          <t>991000908819702656</t>
        </is>
      </c>
      <c r="AY436" t="inlineStr">
        <is>
          <t>2265481670002656</t>
        </is>
      </c>
      <c r="AZ436" t="inlineStr">
        <is>
          <t>BOOK</t>
        </is>
      </c>
      <c r="BB436" t="inlineStr">
        <is>
          <t>9780444009104</t>
        </is>
      </c>
      <c r="BC436" t="inlineStr">
        <is>
          <t>30001000177776</t>
        </is>
      </c>
      <c r="BD436" t="inlineStr">
        <is>
          <t>893546203</t>
        </is>
      </c>
    </row>
    <row r="437">
      <c r="A437" t="inlineStr">
        <is>
          <t>No</t>
        </is>
      </c>
      <c r="B437" t="inlineStr">
        <is>
          <t>QU145 N9765 1990</t>
        </is>
      </c>
      <c r="C437" t="inlineStr">
        <is>
          <t>0                      QU 0145000N  9765        1990</t>
        </is>
      </c>
      <c r="D437" t="inlineStr">
        <is>
          <t>Nutrition almanac / Lavon J. Dunne ; Nutrition Search, Inc., John D. Kirschmann, director.</t>
        </is>
      </c>
      <c r="F437" t="inlineStr">
        <is>
          <t>No</t>
        </is>
      </c>
      <c r="G437" t="inlineStr">
        <is>
          <t>1</t>
        </is>
      </c>
      <c r="H437" t="inlineStr">
        <is>
          <t>No</t>
        </is>
      </c>
      <c r="I437" t="inlineStr">
        <is>
          <t>No</t>
        </is>
      </c>
      <c r="J437" t="inlineStr">
        <is>
          <t>0</t>
        </is>
      </c>
      <c r="L437" t="inlineStr">
        <is>
          <t>New York : McGraw-Hill, 1990.</t>
        </is>
      </c>
      <c r="M437" t="inlineStr">
        <is>
          <t>1990</t>
        </is>
      </c>
      <c r="N437" t="inlineStr">
        <is>
          <t>3rd ed.</t>
        </is>
      </c>
      <c r="O437" t="inlineStr">
        <is>
          <t>eng</t>
        </is>
      </c>
      <c r="P437" t="inlineStr">
        <is>
          <t>nyu</t>
        </is>
      </c>
      <c r="R437" t="inlineStr">
        <is>
          <t xml:space="preserve">QU </t>
        </is>
      </c>
      <c r="S437" t="n">
        <v>10</v>
      </c>
      <c r="T437" t="n">
        <v>10</v>
      </c>
      <c r="U437" t="inlineStr">
        <is>
          <t>1998-12-03</t>
        </is>
      </c>
      <c r="V437" t="inlineStr">
        <is>
          <t>1998-12-03</t>
        </is>
      </c>
      <c r="W437" t="inlineStr">
        <is>
          <t>1989-11-20</t>
        </is>
      </c>
      <c r="X437" t="inlineStr">
        <is>
          <t>1989-11-20</t>
        </is>
      </c>
      <c r="Y437" t="n">
        <v>564</v>
      </c>
      <c r="Z437" t="n">
        <v>484</v>
      </c>
      <c r="AA437" t="n">
        <v>2642</v>
      </c>
      <c r="AB437" t="n">
        <v>3</v>
      </c>
      <c r="AC437" t="n">
        <v>12</v>
      </c>
      <c r="AD437" t="n">
        <v>8</v>
      </c>
      <c r="AE437" t="n">
        <v>39</v>
      </c>
      <c r="AF437" t="n">
        <v>4</v>
      </c>
      <c r="AG437" t="n">
        <v>15</v>
      </c>
      <c r="AH437" t="n">
        <v>1</v>
      </c>
      <c r="AI437" t="n">
        <v>7</v>
      </c>
      <c r="AJ437" t="n">
        <v>4</v>
      </c>
      <c r="AK437" t="n">
        <v>19</v>
      </c>
      <c r="AL437" t="n">
        <v>1</v>
      </c>
      <c r="AM437" t="n">
        <v>7</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HYPERLINK("https://creighton-primo.hosted.exlibrisgroup.com/primo-explore/search?tab=default_tab&amp;search_scope=EVERYTHING&amp;vid=01CRU&amp;lang=en_US&amp;offset=0&amp;query=any,contains,991000155619702656","Catalog Record")</f>
        <v/>
      </c>
      <c r="AT437">
        <f>HYPERLINK("http://www.worldcat.org/oclc/19887512","WorldCat Record")</f>
        <v/>
      </c>
      <c r="AU437" t="inlineStr">
        <is>
          <t>11777811:eng</t>
        </is>
      </c>
      <c r="AV437" t="inlineStr">
        <is>
          <t>19887512</t>
        </is>
      </c>
      <c r="AW437" t="inlineStr">
        <is>
          <t>991000155619702656</t>
        </is>
      </c>
      <c r="AX437" t="inlineStr">
        <is>
          <t>991000155619702656</t>
        </is>
      </c>
      <c r="AY437" t="inlineStr">
        <is>
          <t>2260411260002656</t>
        </is>
      </c>
      <c r="AZ437" t="inlineStr">
        <is>
          <t>BOOK</t>
        </is>
      </c>
      <c r="BB437" t="inlineStr">
        <is>
          <t>9780070349124</t>
        </is>
      </c>
      <c r="BC437" t="inlineStr">
        <is>
          <t>30001001797200</t>
        </is>
      </c>
      <c r="BD437" t="inlineStr">
        <is>
          <t>893359352</t>
        </is>
      </c>
    </row>
    <row r="438">
      <c r="A438" t="inlineStr">
        <is>
          <t>No</t>
        </is>
      </c>
      <c r="B438" t="inlineStr">
        <is>
          <t>QU 145 O97n 1999</t>
        </is>
      </c>
      <c r="C438" t="inlineStr">
        <is>
          <t>0                      QU 0145000O  97n         1999</t>
        </is>
      </c>
      <c r="D438" t="inlineStr">
        <is>
          <t>Nutrition in the community : the art and science of delivering services / Anita L. Owen, Patricia L. Splett, George M. Owen.</t>
        </is>
      </c>
      <c r="F438" t="inlineStr">
        <is>
          <t>No</t>
        </is>
      </c>
      <c r="G438" t="inlineStr">
        <is>
          <t>1</t>
        </is>
      </c>
      <c r="H438" t="inlineStr">
        <is>
          <t>No</t>
        </is>
      </c>
      <c r="I438" t="inlineStr">
        <is>
          <t>No</t>
        </is>
      </c>
      <c r="J438" t="inlineStr">
        <is>
          <t>0</t>
        </is>
      </c>
      <c r="K438" t="inlineStr">
        <is>
          <t>Owen, Anita Yanochik, 1937-</t>
        </is>
      </c>
      <c r="L438" t="inlineStr">
        <is>
          <t>Boston : WCB/McGraw-Hill, c1999.</t>
        </is>
      </c>
      <c r="M438" t="inlineStr">
        <is>
          <t>1999</t>
        </is>
      </c>
      <c r="N438" t="inlineStr">
        <is>
          <t>4th ed.</t>
        </is>
      </c>
      <c r="O438" t="inlineStr">
        <is>
          <t>eng</t>
        </is>
      </c>
      <c r="P438" t="inlineStr">
        <is>
          <t>mau</t>
        </is>
      </c>
      <c r="R438" t="inlineStr">
        <is>
          <t xml:space="preserve">QU </t>
        </is>
      </c>
      <c r="S438" t="n">
        <v>2</v>
      </c>
      <c r="T438" t="n">
        <v>2</v>
      </c>
      <c r="U438" t="inlineStr">
        <is>
          <t>1998-12-17</t>
        </is>
      </c>
      <c r="V438" t="inlineStr">
        <is>
          <t>1998-12-17</t>
        </is>
      </c>
      <c r="W438" t="inlineStr">
        <is>
          <t>1998-12-17</t>
        </is>
      </c>
      <c r="X438" t="inlineStr">
        <is>
          <t>1998-12-17</t>
        </is>
      </c>
      <c r="Y438" t="n">
        <v>231</v>
      </c>
      <c r="Z438" t="n">
        <v>178</v>
      </c>
      <c r="AA438" t="n">
        <v>478</v>
      </c>
      <c r="AB438" t="n">
        <v>1</v>
      </c>
      <c r="AC438" t="n">
        <v>6</v>
      </c>
      <c r="AD438" t="n">
        <v>8</v>
      </c>
      <c r="AE438" t="n">
        <v>20</v>
      </c>
      <c r="AF438" t="n">
        <v>3</v>
      </c>
      <c r="AG438" t="n">
        <v>7</v>
      </c>
      <c r="AH438" t="n">
        <v>3</v>
      </c>
      <c r="AI438" t="n">
        <v>4</v>
      </c>
      <c r="AJ438" t="n">
        <v>3</v>
      </c>
      <c r="AK438" t="n">
        <v>5</v>
      </c>
      <c r="AL438" t="n">
        <v>0</v>
      </c>
      <c r="AM438" t="n">
        <v>5</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HYPERLINK("https://creighton-primo.hosted.exlibrisgroup.com/primo-explore/search?tab=default_tab&amp;search_scope=EVERYTHING&amp;vid=01CRU&amp;lang=en_US&amp;offset=0&amp;query=any,contains,991000691539702656","Catalog Record")</f>
        <v/>
      </c>
      <c r="AT438">
        <f>HYPERLINK("http://www.worldcat.org/oclc/38504338","WorldCat Record")</f>
        <v/>
      </c>
      <c r="AU438" t="inlineStr">
        <is>
          <t>5389150:eng</t>
        </is>
      </c>
      <c r="AV438" t="inlineStr">
        <is>
          <t>38504338</t>
        </is>
      </c>
      <c r="AW438" t="inlineStr">
        <is>
          <t>991000691539702656</t>
        </is>
      </c>
      <c r="AX438" t="inlineStr">
        <is>
          <t>991000691539702656</t>
        </is>
      </c>
      <c r="AY438" t="inlineStr">
        <is>
          <t>2266932520002656</t>
        </is>
      </c>
      <c r="AZ438" t="inlineStr">
        <is>
          <t>BOOK</t>
        </is>
      </c>
      <c r="BB438" t="inlineStr">
        <is>
          <t>9780815133117</t>
        </is>
      </c>
      <c r="BC438" t="inlineStr">
        <is>
          <t>30001004036655</t>
        </is>
      </c>
      <c r="BD438" t="inlineStr">
        <is>
          <t>893730969</t>
        </is>
      </c>
    </row>
    <row r="439">
      <c r="A439" t="inlineStr">
        <is>
          <t>No</t>
        </is>
      </c>
      <c r="B439" t="inlineStr">
        <is>
          <t>QU 145 P526m 1975</t>
        </is>
      </c>
      <c r="C439" t="inlineStr">
        <is>
          <t>0                      QU 0145000P  526m        1975</t>
        </is>
      </c>
      <c r="D439" t="inlineStr">
        <is>
          <t>Mental and elemental nutrients : a physician's guide to nutrition and health care / Carl C. Pfeiffer and the Publications Committee of the Brain Bio Center.</t>
        </is>
      </c>
      <c r="F439" t="inlineStr">
        <is>
          <t>No</t>
        </is>
      </c>
      <c r="G439" t="inlineStr">
        <is>
          <t>1</t>
        </is>
      </c>
      <c r="H439" t="inlineStr">
        <is>
          <t>No</t>
        </is>
      </c>
      <c r="I439" t="inlineStr">
        <is>
          <t>No</t>
        </is>
      </c>
      <c r="J439" t="inlineStr">
        <is>
          <t>0</t>
        </is>
      </c>
      <c r="K439" t="inlineStr">
        <is>
          <t>Pfeiffer, Carl Curt.</t>
        </is>
      </c>
      <c r="L439" t="inlineStr">
        <is>
          <t>New Canaan, Conn. : Keats Pub., c1975.</t>
        </is>
      </c>
      <c r="M439" t="inlineStr">
        <is>
          <t>1975</t>
        </is>
      </c>
      <c r="O439" t="inlineStr">
        <is>
          <t>eng</t>
        </is>
      </c>
      <c r="P439" t="inlineStr">
        <is>
          <t>ctu</t>
        </is>
      </c>
      <c r="R439" t="inlineStr">
        <is>
          <t xml:space="preserve">QU </t>
        </is>
      </c>
      <c r="S439" t="n">
        <v>2</v>
      </c>
      <c r="T439" t="n">
        <v>2</v>
      </c>
      <c r="U439" t="inlineStr">
        <is>
          <t>1993-11-22</t>
        </is>
      </c>
      <c r="V439" t="inlineStr">
        <is>
          <t>1993-11-22</t>
        </is>
      </c>
      <c r="W439" t="inlineStr">
        <is>
          <t>1987-11-15</t>
        </is>
      </c>
      <c r="X439" t="inlineStr">
        <is>
          <t>1987-11-15</t>
        </is>
      </c>
      <c r="Y439" t="n">
        <v>311</v>
      </c>
      <c r="Z439" t="n">
        <v>277</v>
      </c>
      <c r="AA439" t="n">
        <v>284</v>
      </c>
      <c r="AB439" t="n">
        <v>1</v>
      </c>
      <c r="AC439" t="n">
        <v>1</v>
      </c>
      <c r="AD439" t="n">
        <v>1</v>
      </c>
      <c r="AE439" t="n">
        <v>1</v>
      </c>
      <c r="AF439" t="n">
        <v>1</v>
      </c>
      <c r="AG439" t="n">
        <v>1</v>
      </c>
      <c r="AH439" t="n">
        <v>0</v>
      </c>
      <c r="AI439" t="n">
        <v>0</v>
      </c>
      <c r="AJ439" t="n">
        <v>1</v>
      </c>
      <c r="AK439" t="n">
        <v>1</v>
      </c>
      <c r="AL439" t="n">
        <v>0</v>
      </c>
      <c r="AM439" t="n">
        <v>0</v>
      </c>
      <c r="AN439" t="n">
        <v>0</v>
      </c>
      <c r="AO439" t="n">
        <v>0</v>
      </c>
      <c r="AP439" t="inlineStr">
        <is>
          <t>No</t>
        </is>
      </c>
      <c r="AQ439" t="inlineStr">
        <is>
          <t>Yes</t>
        </is>
      </c>
      <c r="AR439">
        <f>HYPERLINK("http://catalog.hathitrust.org/Record/000716580","HathiTrust Record")</f>
        <v/>
      </c>
      <c r="AS439">
        <f>HYPERLINK("https://creighton-primo.hosted.exlibrisgroup.com/primo-explore/search?tab=default_tab&amp;search_scope=EVERYTHING&amp;vid=01CRU&amp;lang=en_US&amp;offset=0&amp;query=any,contains,991000878149702656","Catalog Record")</f>
        <v/>
      </c>
      <c r="AT439">
        <f>HYPERLINK("http://www.worldcat.org/oclc/2123144","WorldCat Record")</f>
        <v/>
      </c>
      <c r="AU439" t="inlineStr">
        <is>
          <t>540479:eng</t>
        </is>
      </c>
      <c r="AV439" t="inlineStr">
        <is>
          <t>2123144</t>
        </is>
      </c>
      <c r="AW439" t="inlineStr">
        <is>
          <t>991000878149702656</t>
        </is>
      </c>
      <c r="AX439" t="inlineStr">
        <is>
          <t>991000878149702656</t>
        </is>
      </c>
      <c r="AY439" t="inlineStr">
        <is>
          <t>2272455390002656</t>
        </is>
      </c>
      <c r="AZ439" t="inlineStr">
        <is>
          <t>BOOK</t>
        </is>
      </c>
      <c r="BB439" t="inlineStr">
        <is>
          <t>9780879831141</t>
        </is>
      </c>
      <c r="BC439" t="inlineStr">
        <is>
          <t>30001000820193</t>
        </is>
      </c>
      <c r="BD439" t="inlineStr">
        <is>
          <t>893464942</t>
        </is>
      </c>
    </row>
    <row r="440">
      <c r="A440" t="inlineStr">
        <is>
          <t>No</t>
        </is>
      </c>
      <c r="B440" t="inlineStr">
        <is>
          <t>QU 145 P764n 1991</t>
        </is>
      </c>
      <c r="C440" t="inlineStr">
        <is>
          <t>0                      QU 0145000P  764n        1991</t>
        </is>
      </c>
      <c r="D440" t="inlineStr">
        <is>
          <t>Nutrition : essentials and diet therapy.</t>
        </is>
      </c>
      <c r="F440" t="inlineStr">
        <is>
          <t>No</t>
        </is>
      </c>
      <c r="G440" t="inlineStr">
        <is>
          <t>1</t>
        </is>
      </c>
      <c r="H440" t="inlineStr">
        <is>
          <t>No</t>
        </is>
      </c>
      <c r="I440" t="inlineStr">
        <is>
          <t>Yes</t>
        </is>
      </c>
      <c r="J440" t="inlineStr">
        <is>
          <t>0</t>
        </is>
      </c>
      <c r="K440" t="inlineStr">
        <is>
          <t>Poleman, Charlotte M.</t>
        </is>
      </c>
      <c r="L440" t="inlineStr">
        <is>
          <t>Philadelphia : Saunders, c1991.</t>
        </is>
      </c>
      <c r="M440" t="inlineStr">
        <is>
          <t>1991</t>
        </is>
      </c>
      <c r="N440" t="inlineStr">
        <is>
          <t>6th ed. / Charlotte M. Poleman, Nancy J. Peckenpaugh.</t>
        </is>
      </c>
      <c r="O440" t="inlineStr">
        <is>
          <t>eng</t>
        </is>
      </c>
      <c r="P440" t="inlineStr">
        <is>
          <t>xxu</t>
        </is>
      </c>
      <c r="R440" t="inlineStr">
        <is>
          <t xml:space="preserve">QU </t>
        </is>
      </c>
      <c r="S440" t="n">
        <v>13</v>
      </c>
      <c r="T440" t="n">
        <v>13</v>
      </c>
      <c r="U440" t="inlineStr">
        <is>
          <t>1999-02-12</t>
        </is>
      </c>
      <c r="V440" t="inlineStr">
        <is>
          <t>1999-02-12</t>
        </is>
      </c>
      <c r="W440" t="inlineStr">
        <is>
          <t>1991-12-12</t>
        </is>
      </c>
      <c r="X440" t="inlineStr">
        <is>
          <t>1991-12-12</t>
        </is>
      </c>
      <c r="Y440" t="n">
        <v>236</v>
      </c>
      <c r="Z440" t="n">
        <v>181</v>
      </c>
      <c r="AA440" t="n">
        <v>922</v>
      </c>
      <c r="AB440" t="n">
        <v>1</v>
      </c>
      <c r="AC440" t="n">
        <v>5</v>
      </c>
      <c r="AD440" t="n">
        <v>5</v>
      </c>
      <c r="AE440" t="n">
        <v>32</v>
      </c>
      <c r="AF440" t="n">
        <v>1</v>
      </c>
      <c r="AG440" t="n">
        <v>14</v>
      </c>
      <c r="AH440" t="n">
        <v>1</v>
      </c>
      <c r="AI440" t="n">
        <v>7</v>
      </c>
      <c r="AJ440" t="n">
        <v>3</v>
      </c>
      <c r="AK440" t="n">
        <v>14</v>
      </c>
      <c r="AL440" t="n">
        <v>0</v>
      </c>
      <c r="AM440" t="n">
        <v>4</v>
      </c>
      <c r="AN440" t="n">
        <v>0</v>
      </c>
      <c r="AO440" t="n">
        <v>0</v>
      </c>
      <c r="AP440" t="inlineStr">
        <is>
          <t>No</t>
        </is>
      </c>
      <c r="AQ440" t="inlineStr">
        <is>
          <t>Yes</t>
        </is>
      </c>
      <c r="AR440">
        <f>HYPERLINK("http://catalog.hathitrust.org/Record/002451928","HathiTrust Record")</f>
        <v/>
      </c>
      <c r="AS440">
        <f>HYPERLINK("https://creighton-primo.hosted.exlibrisgroup.com/primo-explore/search?tab=default_tab&amp;search_scope=EVERYTHING&amp;vid=01CRU&amp;lang=en_US&amp;offset=0&amp;query=any,contains,991001025549702656","Catalog Record")</f>
        <v/>
      </c>
      <c r="AT440">
        <f>HYPERLINK("http://www.worldcat.org/oclc/22279813","WorldCat Record")</f>
        <v/>
      </c>
      <c r="AU440" t="inlineStr">
        <is>
          <t>8358842:eng</t>
        </is>
      </c>
      <c r="AV440" t="inlineStr">
        <is>
          <t>22279813</t>
        </is>
      </c>
      <c r="AW440" t="inlineStr">
        <is>
          <t>991001025549702656</t>
        </is>
      </c>
      <c r="AX440" t="inlineStr">
        <is>
          <t>991001025549702656</t>
        </is>
      </c>
      <c r="AY440" t="inlineStr">
        <is>
          <t>2265758170002656</t>
        </is>
      </c>
      <c r="AZ440" t="inlineStr">
        <is>
          <t>BOOK</t>
        </is>
      </c>
      <c r="BB440" t="inlineStr">
        <is>
          <t>9780721672816</t>
        </is>
      </c>
      <c r="BC440" t="inlineStr">
        <is>
          <t>30001002242586</t>
        </is>
      </c>
      <c r="BD440" t="inlineStr">
        <is>
          <t>893546314</t>
        </is>
      </c>
    </row>
    <row r="441">
      <c r="A441" t="inlineStr">
        <is>
          <t>No</t>
        </is>
      </c>
      <c r="B441" t="inlineStr">
        <is>
          <t>QU 145 P896 1989</t>
        </is>
      </c>
      <c r="C441" t="inlineStr">
        <is>
          <t>0                      QU 0145000P  896         1989</t>
        </is>
      </c>
      <c r="D441" t="inlineStr">
        <is>
          <t>Practical nutrition : a quick reference for the health care practitioner / [edited by] Margaret D. Simko, Catherine Cowell, Maureen S. Hreha.</t>
        </is>
      </c>
      <c r="F441" t="inlineStr">
        <is>
          <t>No</t>
        </is>
      </c>
      <c r="G441" t="inlineStr">
        <is>
          <t>1</t>
        </is>
      </c>
      <c r="H441" t="inlineStr">
        <is>
          <t>No</t>
        </is>
      </c>
      <c r="I441" t="inlineStr">
        <is>
          <t>No</t>
        </is>
      </c>
      <c r="J441" t="inlineStr">
        <is>
          <t>0</t>
        </is>
      </c>
      <c r="L441" t="inlineStr">
        <is>
          <t>Rockville, Md. : Aspen Publishers, c1989.</t>
        </is>
      </c>
      <c r="M441" t="inlineStr">
        <is>
          <t>1989</t>
        </is>
      </c>
      <c r="O441" t="inlineStr">
        <is>
          <t>eng</t>
        </is>
      </c>
      <c r="P441" t="inlineStr">
        <is>
          <t>xxu</t>
        </is>
      </c>
      <c r="R441" t="inlineStr">
        <is>
          <t xml:space="preserve">QU </t>
        </is>
      </c>
      <c r="S441" t="n">
        <v>18</v>
      </c>
      <c r="T441" t="n">
        <v>18</v>
      </c>
      <c r="U441" t="inlineStr">
        <is>
          <t>1998-02-15</t>
        </is>
      </c>
      <c r="V441" t="inlineStr">
        <is>
          <t>1998-02-15</t>
        </is>
      </c>
      <c r="W441" t="inlineStr">
        <is>
          <t>1989-05-26</t>
        </is>
      </c>
      <c r="X441" t="inlineStr">
        <is>
          <t>1989-05-26</t>
        </is>
      </c>
      <c r="Y441" t="n">
        <v>209</v>
      </c>
      <c r="Z441" t="n">
        <v>190</v>
      </c>
      <c r="AA441" t="n">
        <v>197</v>
      </c>
      <c r="AB441" t="n">
        <v>1</v>
      </c>
      <c r="AC441" t="n">
        <v>1</v>
      </c>
      <c r="AD441" t="n">
        <v>6</v>
      </c>
      <c r="AE441" t="n">
        <v>6</v>
      </c>
      <c r="AF441" t="n">
        <v>3</v>
      </c>
      <c r="AG441" t="n">
        <v>3</v>
      </c>
      <c r="AH441" t="n">
        <v>2</v>
      </c>
      <c r="AI441" t="n">
        <v>2</v>
      </c>
      <c r="AJ441" t="n">
        <v>3</v>
      </c>
      <c r="AK441" t="n">
        <v>3</v>
      </c>
      <c r="AL441" t="n">
        <v>0</v>
      </c>
      <c r="AM441" t="n">
        <v>0</v>
      </c>
      <c r="AN441" t="n">
        <v>0</v>
      </c>
      <c r="AO441" t="n">
        <v>0</v>
      </c>
      <c r="AP441" t="inlineStr">
        <is>
          <t>No</t>
        </is>
      </c>
      <c r="AQ441" t="inlineStr">
        <is>
          <t>Yes</t>
        </is>
      </c>
      <c r="AR441">
        <f>HYPERLINK("http://catalog.hathitrust.org/Record/001843738","HathiTrust Record")</f>
        <v/>
      </c>
      <c r="AS441">
        <f>HYPERLINK("https://creighton-primo.hosted.exlibrisgroup.com/primo-explore/search?tab=default_tab&amp;search_scope=EVERYTHING&amp;vid=01CRU&amp;lang=en_US&amp;offset=0&amp;query=any,contains,991001249249702656","Catalog Record")</f>
        <v/>
      </c>
      <c r="AT441">
        <f>HYPERLINK("http://www.worldcat.org/oclc/18984163","WorldCat Record")</f>
        <v/>
      </c>
      <c r="AU441" t="inlineStr">
        <is>
          <t>422908344:eng</t>
        </is>
      </c>
      <c r="AV441" t="inlineStr">
        <is>
          <t>18984163</t>
        </is>
      </c>
      <c r="AW441" t="inlineStr">
        <is>
          <t>991001249249702656</t>
        </is>
      </c>
      <c r="AX441" t="inlineStr">
        <is>
          <t>991001249249702656</t>
        </is>
      </c>
      <c r="AY441" t="inlineStr">
        <is>
          <t>2269172750002656</t>
        </is>
      </c>
      <c r="AZ441" t="inlineStr">
        <is>
          <t>BOOK</t>
        </is>
      </c>
      <c r="BB441" t="inlineStr">
        <is>
          <t>9780834200487</t>
        </is>
      </c>
      <c r="BC441" t="inlineStr">
        <is>
          <t>30001001678509</t>
        </is>
      </c>
      <c r="BD441" t="inlineStr">
        <is>
          <t>893363911</t>
        </is>
      </c>
    </row>
    <row r="442">
      <c r="A442" t="inlineStr">
        <is>
          <t>No</t>
        </is>
      </c>
      <c r="B442" t="inlineStr">
        <is>
          <t>QU 145 R296f 1973</t>
        </is>
      </c>
      <c r="C442" t="inlineStr">
        <is>
          <t>0                      QU 0145000R  296f        1973</t>
        </is>
      </c>
      <c r="D442" t="inlineStr">
        <is>
          <t>Food, nutrition and health : a multidisciplinary treatise addressed to the major nutrition problems from a world wide perspective / Editor: Miloslav Rechcigl ; with a foreword from Dr. Jean Mayer.</t>
        </is>
      </c>
      <c r="E442" t="inlineStr">
        <is>
          <t>V. 16</t>
        </is>
      </c>
      <c r="F442" t="inlineStr">
        <is>
          <t>No</t>
        </is>
      </c>
      <c r="G442" t="inlineStr">
        <is>
          <t>1</t>
        </is>
      </c>
      <c r="H442" t="inlineStr">
        <is>
          <t>No</t>
        </is>
      </c>
      <c r="I442" t="inlineStr">
        <is>
          <t>No</t>
        </is>
      </c>
      <c r="J442" t="inlineStr">
        <is>
          <t>0</t>
        </is>
      </c>
      <c r="L442" t="inlineStr">
        <is>
          <t>New York : S. Karger, 1973.</t>
        </is>
      </c>
      <c r="M442" t="inlineStr">
        <is>
          <t>1973</t>
        </is>
      </c>
      <c r="O442" t="inlineStr">
        <is>
          <t>eng</t>
        </is>
      </c>
      <c r="P442" t="inlineStr">
        <is>
          <t>nyu</t>
        </is>
      </c>
      <c r="Q442" t="inlineStr">
        <is>
          <t>World review of nutrition and dietetics ; v. 16</t>
        </is>
      </c>
      <c r="R442" t="inlineStr">
        <is>
          <t xml:space="preserve">QU </t>
        </is>
      </c>
      <c r="S442" t="n">
        <v>3</v>
      </c>
      <c r="T442" t="n">
        <v>3</v>
      </c>
      <c r="U442" t="inlineStr">
        <is>
          <t>1998-06-23</t>
        </is>
      </c>
      <c r="V442" t="inlineStr">
        <is>
          <t>1998-06-23</t>
        </is>
      </c>
      <c r="W442" t="inlineStr">
        <is>
          <t>1990-02-28</t>
        </is>
      </c>
      <c r="X442" t="inlineStr">
        <is>
          <t>1990-02-28</t>
        </is>
      </c>
      <c r="Y442" t="n">
        <v>95</v>
      </c>
      <c r="Z442" t="n">
        <v>70</v>
      </c>
      <c r="AA442" t="n">
        <v>71</v>
      </c>
      <c r="AB442" t="n">
        <v>2</v>
      </c>
      <c r="AC442" t="n">
        <v>2</v>
      </c>
      <c r="AD442" t="n">
        <v>2</v>
      </c>
      <c r="AE442" t="n">
        <v>2</v>
      </c>
      <c r="AF442" t="n">
        <v>0</v>
      </c>
      <c r="AG442" t="n">
        <v>0</v>
      </c>
      <c r="AH442" t="n">
        <v>0</v>
      </c>
      <c r="AI442" t="n">
        <v>0</v>
      </c>
      <c r="AJ442" t="n">
        <v>1</v>
      </c>
      <c r="AK442" t="n">
        <v>1</v>
      </c>
      <c r="AL442" t="n">
        <v>1</v>
      </c>
      <c r="AM442" t="n">
        <v>1</v>
      </c>
      <c r="AN442" t="n">
        <v>0</v>
      </c>
      <c r="AO442" t="n">
        <v>0</v>
      </c>
      <c r="AP442" t="inlineStr">
        <is>
          <t>No</t>
        </is>
      </c>
      <c r="AQ442" t="inlineStr">
        <is>
          <t>Yes</t>
        </is>
      </c>
      <c r="AR442">
        <f>HYPERLINK("http://catalog.hathitrust.org/Record/009158529","HathiTrust Record")</f>
        <v/>
      </c>
      <c r="AS442">
        <f>HYPERLINK("https://creighton-primo.hosted.exlibrisgroup.com/primo-explore/search?tab=default_tab&amp;search_scope=EVERYTHING&amp;vid=01CRU&amp;lang=en_US&amp;offset=0&amp;query=any,contains,991000986139702656","Catalog Record")</f>
        <v/>
      </c>
      <c r="AT442">
        <f>HYPERLINK("http://www.worldcat.org/oclc/965996","WorldCat Record")</f>
        <v/>
      </c>
      <c r="AU442" t="inlineStr">
        <is>
          <t>866854897:eng</t>
        </is>
      </c>
      <c r="AV442" t="inlineStr">
        <is>
          <t>965996</t>
        </is>
      </c>
      <c r="AW442" t="inlineStr">
        <is>
          <t>991000986139702656</t>
        </is>
      </c>
      <c r="AX442" t="inlineStr">
        <is>
          <t>991000986139702656</t>
        </is>
      </c>
      <c r="AY442" t="inlineStr">
        <is>
          <t>2261199340002656</t>
        </is>
      </c>
      <c r="AZ442" t="inlineStr">
        <is>
          <t>BOOK</t>
        </is>
      </c>
      <c r="BB442" t="inlineStr">
        <is>
          <t>9783805513982</t>
        </is>
      </c>
      <c r="BC442" t="inlineStr">
        <is>
          <t>30001000217275</t>
        </is>
      </c>
      <c r="BD442" t="inlineStr">
        <is>
          <t>893826317</t>
        </is>
      </c>
    </row>
    <row r="443">
      <c r="A443" t="inlineStr">
        <is>
          <t>No</t>
        </is>
      </c>
      <c r="B443" t="inlineStr">
        <is>
          <t>QU 145 S948n 1984</t>
        </is>
      </c>
      <c r="C443" t="inlineStr">
        <is>
          <t>0                      QU 0145000S  948n        1984</t>
        </is>
      </c>
      <c r="D443" t="inlineStr">
        <is>
          <t>Nutrition, principles and application in health promotion / Carol Jean West Suitor, Merrily Forbes Crowley.</t>
        </is>
      </c>
      <c r="F443" t="inlineStr">
        <is>
          <t>No</t>
        </is>
      </c>
      <c r="G443" t="inlineStr">
        <is>
          <t>1</t>
        </is>
      </c>
      <c r="H443" t="inlineStr">
        <is>
          <t>No</t>
        </is>
      </c>
      <c r="I443" t="inlineStr">
        <is>
          <t>No</t>
        </is>
      </c>
      <c r="J443" t="inlineStr">
        <is>
          <t>0</t>
        </is>
      </c>
      <c r="K443" t="inlineStr">
        <is>
          <t>Suitor, Carol West.</t>
        </is>
      </c>
      <c r="L443" t="inlineStr">
        <is>
          <t>Philadelphia : Lippincott, c1984.</t>
        </is>
      </c>
      <c r="M443" t="inlineStr">
        <is>
          <t>1984</t>
        </is>
      </c>
      <c r="N443" t="inlineStr">
        <is>
          <t>2nd ed.</t>
        </is>
      </c>
      <c r="O443" t="inlineStr">
        <is>
          <t>eng</t>
        </is>
      </c>
      <c r="P443" t="inlineStr">
        <is>
          <t xml:space="preserve">aa </t>
        </is>
      </c>
      <c r="R443" t="inlineStr">
        <is>
          <t xml:space="preserve">QU </t>
        </is>
      </c>
      <c r="S443" t="n">
        <v>16</v>
      </c>
      <c r="T443" t="n">
        <v>16</v>
      </c>
      <c r="U443" t="inlineStr">
        <is>
          <t>1997-10-10</t>
        </is>
      </c>
      <c r="V443" t="inlineStr">
        <is>
          <t>1997-10-10</t>
        </is>
      </c>
      <c r="W443" t="inlineStr">
        <is>
          <t>1988-01-25</t>
        </is>
      </c>
      <c r="X443" t="inlineStr">
        <is>
          <t>1988-01-25</t>
        </is>
      </c>
      <c r="Y443" t="n">
        <v>274</v>
      </c>
      <c r="Z443" t="n">
        <v>225</v>
      </c>
      <c r="AA443" t="n">
        <v>403</v>
      </c>
      <c r="AB443" t="n">
        <v>1</v>
      </c>
      <c r="AC443" t="n">
        <v>3</v>
      </c>
      <c r="AD443" t="n">
        <v>8</v>
      </c>
      <c r="AE443" t="n">
        <v>14</v>
      </c>
      <c r="AF443" t="n">
        <v>3</v>
      </c>
      <c r="AG443" t="n">
        <v>4</v>
      </c>
      <c r="AH443" t="n">
        <v>2</v>
      </c>
      <c r="AI443" t="n">
        <v>3</v>
      </c>
      <c r="AJ443" t="n">
        <v>6</v>
      </c>
      <c r="AK443" t="n">
        <v>9</v>
      </c>
      <c r="AL443" t="n">
        <v>0</v>
      </c>
      <c r="AM443" t="n">
        <v>2</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HYPERLINK("https://creighton-primo.hosted.exlibrisgroup.com/primo-explore/search?tab=default_tab&amp;search_scope=EVERYTHING&amp;vid=01CRU&amp;lang=en_US&amp;offset=0&amp;query=any,contains,991000911209702656","Catalog Record")</f>
        <v/>
      </c>
      <c r="AT443">
        <f>HYPERLINK("http://www.worldcat.org/oclc/9620091","WorldCat Record")</f>
        <v/>
      </c>
      <c r="AU443" t="inlineStr">
        <is>
          <t>18424025:eng</t>
        </is>
      </c>
      <c r="AV443" t="inlineStr">
        <is>
          <t>9620091</t>
        </is>
      </c>
      <c r="AW443" t="inlineStr">
        <is>
          <t>991000911209702656</t>
        </is>
      </c>
      <c r="AX443" t="inlineStr">
        <is>
          <t>991000911209702656</t>
        </is>
      </c>
      <c r="AY443" t="inlineStr">
        <is>
          <t>2269415420002656</t>
        </is>
      </c>
      <c r="AZ443" t="inlineStr">
        <is>
          <t>BOOK</t>
        </is>
      </c>
      <c r="BB443" t="inlineStr">
        <is>
          <t>9780397544240</t>
        </is>
      </c>
      <c r="BC443" t="inlineStr">
        <is>
          <t>30001000177990</t>
        </is>
      </c>
      <c r="BD443" t="inlineStr">
        <is>
          <t>893551930</t>
        </is>
      </c>
    </row>
    <row r="444">
      <c r="A444" t="inlineStr">
        <is>
          <t>No</t>
        </is>
      </c>
      <c r="B444" t="inlineStr">
        <is>
          <t>QU 145 T897 1983</t>
        </is>
      </c>
      <c r="C444" t="inlineStr">
        <is>
          <t>0                      QU 0145000T  897         1983</t>
        </is>
      </c>
      <c r="D444" t="inlineStr">
        <is>
          <t>Human nutrition / Murray M. Tuckerman and Salvatore J. Turco.</t>
        </is>
      </c>
      <c r="F444" t="inlineStr">
        <is>
          <t>No</t>
        </is>
      </c>
      <c r="G444" t="inlineStr">
        <is>
          <t>1</t>
        </is>
      </c>
      <c r="H444" t="inlineStr">
        <is>
          <t>No</t>
        </is>
      </c>
      <c r="I444" t="inlineStr">
        <is>
          <t>No</t>
        </is>
      </c>
      <c r="J444" t="inlineStr">
        <is>
          <t>0</t>
        </is>
      </c>
      <c r="K444" t="inlineStr">
        <is>
          <t>Tuckerman, Murray M.</t>
        </is>
      </c>
      <c r="L444" t="inlineStr">
        <is>
          <t>Philadelphia : Lea &amp; Febiger, c1983.</t>
        </is>
      </c>
      <c r="M444" t="inlineStr">
        <is>
          <t>1983</t>
        </is>
      </c>
      <c r="O444" t="inlineStr">
        <is>
          <t>eng</t>
        </is>
      </c>
      <c r="P444" t="inlineStr">
        <is>
          <t>pau</t>
        </is>
      </c>
      <c r="R444" t="inlineStr">
        <is>
          <t xml:space="preserve">QU </t>
        </is>
      </c>
      <c r="S444" t="n">
        <v>2</v>
      </c>
      <c r="T444" t="n">
        <v>2</v>
      </c>
      <c r="U444" t="inlineStr">
        <is>
          <t>1998-06-04</t>
        </is>
      </c>
      <c r="V444" t="inlineStr">
        <is>
          <t>1998-06-04</t>
        </is>
      </c>
      <c r="W444" t="inlineStr">
        <is>
          <t>1987-08-20</t>
        </is>
      </c>
      <c r="X444" t="inlineStr">
        <is>
          <t>1987-08-20</t>
        </is>
      </c>
      <c r="Y444" t="n">
        <v>252</v>
      </c>
      <c r="Z444" t="n">
        <v>201</v>
      </c>
      <c r="AA444" t="n">
        <v>203</v>
      </c>
      <c r="AB444" t="n">
        <v>1</v>
      </c>
      <c r="AC444" t="n">
        <v>1</v>
      </c>
      <c r="AD444" t="n">
        <v>5</v>
      </c>
      <c r="AE444" t="n">
        <v>5</v>
      </c>
      <c r="AF444" t="n">
        <v>3</v>
      </c>
      <c r="AG444" t="n">
        <v>3</v>
      </c>
      <c r="AH444" t="n">
        <v>2</v>
      </c>
      <c r="AI444" t="n">
        <v>2</v>
      </c>
      <c r="AJ444" t="n">
        <v>1</v>
      </c>
      <c r="AK444" t="n">
        <v>1</v>
      </c>
      <c r="AL444" t="n">
        <v>0</v>
      </c>
      <c r="AM444" t="n">
        <v>0</v>
      </c>
      <c r="AN444" t="n">
        <v>0</v>
      </c>
      <c r="AO444" t="n">
        <v>0</v>
      </c>
      <c r="AP444" t="inlineStr">
        <is>
          <t>No</t>
        </is>
      </c>
      <c r="AQ444" t="inlineStr">
        <is>
          <t>Yes</t>
        </is>
      </c>
      <c r="AR444">
        <f>HYPERLINK("http://catalog.hathitrust.org/Record/000199725","HathiTrust Record")</f>
        <v/>
      </c>
      <c r="AS444">
        <f>HYPERLINK("https://creighton-primo.hosted.exlibrisgroup.com/primo-explore/search?tab=default_tab&amp;search_scope=EVERYTHING&amp;vid=01CRU&amp;lang=en_US&amp;offset=0&amp;query=any,contains,991000747019702656","Catalog Record")</f>
        <v/>
      </c>
      <c r="AT444">
        <f>HYPERLINK("http://www.worldcat.org/oclc/8629602","WorldCat Record")</f>
        <v/>
      </c>
      <c r="AU444" t="inlineStr">
        <is>
          <t>32593739:eng</t>
        </is>
      </c>
      <c r="AV444" t="inlineStr">
        <is>
          <t>8629602</t>
        </is>
      </c>
      <c r="AW444" t="inlineStr">
        <is>
          <t>991000747019702656</t>
        </is>
      </c>
      <c r="AX444" t="inlineStr">
        <is>
          <t>991000747019702656</t>
        </is>
      </c>
      <c r="AY444" t="inlineStr">
        <is>
          <t>2262374860002656</t>
        </is>
      </c>
      <c r="AZ444" t="inlineStr">
        <is>
          <t>BOOK</t>
        </is>
      </c>
      <c r="BB444" t="inlineStr">
        <is>
          <t>9780812108538</t>
        </is>
      </c>
      <c r="BC444" t="inlineStr">
        <is>
          <t>30001000046021</t>
        </is>
      </c>
      <c r="BD444" t="inlineStr">
        <is>
          <t>893362953</t>
        </is>
      </c>
    </row>
    <row r="445">
      <c r="A445" t="inlineStr">
        <is>
          <t>No</t>
        </is>
      </c>
      <c r="B445" t="inlineStr">
        <is>
          <t>QU 145 U58ss 1988</t>
        </is>
      </c>
      <c r="C445" t="inlineStr">
        <is>
          <t>0                      QU 0145000U  58ss        1988</t>
        </is>
      </c>
      <c r="D445" t="inlineStr">
        <is>
          <t>The surgeon general's report on nutrition and health : summary and recommendations / [C. Everett Koop].</t>
        </is>
      </c>
      <c r="F445" t="inlineStr">
        <is>
          <t>No</t>
        </is>
      </c>
      <c r="G445" t="inlineStr">
        <is>
          <t>1</t>
        </is>
      </c>
      <c r="H445" t="inlineStr">
        <is>
          <t>No</t>
        </is>
      </c>
      <c r="I445" t="inlineStr">
        <is>
          <t>No</t>
        </is>
      </c>
      <c r="J445" t="inlineStr">
        <is>
          <t>0</t>
        </is>
      </c>
      <c r="K445" t="inlineStr">
        <is>
          <t>United States. Public Health Service. Office of the Surgeon General.</t>
        </is>
      </c>
      <c r="L445" t="inlineStr">
        <is>
          <t>Washington, D.C. : U.S.G.P.O., 1988.</t>
        </is>
      </c>
      <c r="M445" t="inlineStr">
        <is>
          <t>1988</t>
        </is>
      </c>
      <c r="O445" t="inlineStr">
        <is>
          <t>eng</t>
        </is>
      </c>
      <c r="P445" t="inlineStr">
        <is>
          <t>dcu</t>
        </is>
      </c>
      <c r="Q445" t="inlineStr">
        <is>
          <t>DHHS publication ; no. (PHS) 88-50211</t>
        </is>
      </c>
      <c r="R445" t="inlineStr">
        <is>
          <t xml:space="preserve">QU </t>
        </is>
      </c>
      <c r="S445" t="n">
        <v>4</v>
      </c>
      <c r="T445" t="n">
        <v>4</v>
      </c>
      <c r="U445" t="inlineStr">
        <is>
          <t>1996-11-21</t>
        </is>
      </c>
      <c r="V445" t="inlineStr">
        <is>
          <t>1996-11-21</t>
        </is>
      </c>
      <c r="W445" t="inlineStr">
        <is>
          <t>1989-02-18</t>
        </is>
      </c>
      <c r="X445" t="inlineStr">
        <is>
          <t>1989-02-18</t>
        </is>
      </c>
      <c r="Y445" t="n">
        <v>460</v>
      </c>
      <c r="Z445" t="n">
        <v>446</v>
      </c>
      <c r="AA445" t="n">
        <v>467</v>
      </c>
      <c r="AB445" t="n">
        <v>7</v>
      </c>
      <c r="AC445" t="n">
        <v>7</v>
      </c>
      <c r="AD445" t="n">
        <v>14</v>
      </c>
      <c r="AE445" t="n">
        <v>14</v>
      </c>
      <c r="AF445" t="n">
        <v>5</v>
      </c>
      <c r="AG445" t="n">
        <v>5</v>
      </c>
      <c r="AH445" t="n">
        <v>4</v>
      </c>
      <c r="AI445" t="n">
        <v>4</v>
      </c>
      <c r="AJ445" t="n">
        <v>4</v>
      </c>
      <c r="AK445" t="n">
        <v>4</v>
      </c>
      <c r="AL445" t="n">
        <v>5</v>
      </c>
      <c r="AM445" t="n">
        <v>5</v>
      </c>
      <c r="AN445" t="n">
        <v>0</v>
      </c>
      <c r="AO445" t="n">
        <v>0</v>
      </c>
      <c r="AP445" t="inlineStr">
        <is>
          <t>Yes</t>
        </is>
      </c>
      <c r="AQ445" t="inlineStr">
        <is>
          <t>No</t>
        </is>
      </c>
      <c r="AR445">
        <f>HYPERLINK("http://catalog.hathitrust.org/Record/007409595","HathiTrust Record")</f>
        <v/>
      </c>
      <c r="AS445">
        <f>HYPERLINK("https://creighton-primo.hosted.exlibrisgroup.com/primo-explore/search?tab=default_tab&amp;search_scope=EVERYTHING&amp;vid=01CRU&amp;lang=en_US&amp;offset=0&amp;query=any,contains,991001103329702656","Catalog Record")</f>
        <v/>
      </c>
      <c r="AT445">
        <f>HYPERLINK("http://www.worldcat.org/oclc/21197246","WorldCat Record")</f>
        <v/>
      </c>
      <c r="AU445" t="inlineStr">
        <is>
          <t>8907727338:eng</t>
        </is>
      </c>
      <c r="AV445" t="inlineStr">
        <is>
          <t>21197246</t>
        </is>
      </c>
      <c r="AW445" t="inlineStr">
        <is>
          <t>991001103329702656</t>
        </is>
      </c>
      <c r="AX445" t="inlineStr">
        <is>
          <t>991001103329702656</t>
        </is>
      </c>
      <c r="AY445" t="inlineStr">
        <is>
          <t>2264167770002656</t>
        </is>
      </c>
      <c r="AZ445" t="inlineStr">
        <is>
          <t>BOOK</t>
        </is>
      </c>
      <c r="BC445" t="inlineStr">
        <is>
          <t>30001001610148</t>
        </is>
      </c>
      <c r="BD445" t="inlineStr">
        <is>
          <t>893557590</t>
        </is>
      </c>
    </row>
    <row r="446">
      <c r="A446" t="inlineStr">
        <is>
          <t>No</t>
        </is>
      </c>
      <c r="B446" t="inlineStr">
        <is>
          <t>QU145 W266p 2002</t>
        </is>
      </c>
      <c r="C446" t="inlineStr">
        <is>
          <t>0                      QU 0145000W  266p        2002</t>
        </is>
      </c>
      <c r="D446" t="inlineStr">
        <is>
          <t>Perspectives in nutrition / Gordon M. Wardlaw, Margaret W. Kessel.</t>
        </is>
      </c>
      <c r="F446" t="inlineStr">
        <is>
          <t>No</t>
        </is>
      </c>
      <c r="G446" t="inlineStr">
        <is>
          <t>1</t>
        </is>
      </c>
      <c r="H446" t="inlineStr">
        <is>
          <t>No</t>
        </is>
      </c>
      <c r="I446" t="inlineStr">
        <is>
          <t>No</t>
        </is>
      </c>
      <c r="J446" t="inlineStr">
        <is>
          <t>0</t>
        </is>
      </c>
      <c r="K446" t="inlineStr">
        <is>
          <t>Wardlaw, Gordon M.</t>
        </is>
      </c>
      <c r="L446" t="inlineStr">
        <is>
          <t>Boston : McGraw-Hill, c2002.</t>
        </is>
      </c>
      <c r="M446" t="inlineStr">
        <is>
          <t>2002</t>
        </is>
      </c>
      <c r="N446" t="inlineStr">
        <is>
          <t>5th ed.</t>
        </is>
      </c>
      <c r="O446" t="inlineStr">
        <is>
          <t>eng</t>
        </is>
      </c>
      <c r="P446" t="inlineStr">
        <is>
          <t>mau</t>
        </is>
      </c>
      <c r="R446" t="inlineStr">
        <is>
          <t xml:space="preserve">QU </t>
        </is>
      </c>
      <c r="S446" t="n">
        <v>9</v>
      </c>
      <c r="T446" t="n">
        <v>9</v>
      </c>
      <c r="U446" t="inlineStr">
        <is>
          <t>2003-04-16</t>
        </is>
      </c>
      <c r="V446" t="inlineStr">
        <is>
          <t>2003-04-16</t>
        </is>
      </c>
      <c r="W446" t="inlineStr">
        <is>
          <t>2002-01-24</t>
        </is>
      </c>
      <c r="X446" t="inlineStr">
        <is>
          <t>2002-01-24</t>
        </is>
      </c>
      <c r="Y446" t="n">
        <v>120</v>
      </c>
      <c r="Z446" t="n">
        <v>89</v>
      </c>
      <c r="AA446" t="n">
        <v>592</v>
      </c>
      <c r="AB446" t="n">
        <v>1</v>
      </c>
      <c r="AC446" t="n">
        <v>4</v>
      </c>
      <c r="AD446" t="n">
        <v>0</v>
      </c>
      <c r="AE446" t="n">
        <v>18</v>
      </c>
      <c r="AF446" t="n">
        <v>0</v>
      </c>
      <c r="AG446" t="n">
        <v>9</v>
      </c>
      <c r="AH446" t="n">
        <v>0</v>
      </c>
      <c r="AI446" t="n">
        <v>2</v>
      </c>
      <c r="AJ446" t="n">
        <v>0</v>
      </c>
      <c r="AK446" t="n">
        <v>7</v>
      </c>
      <c r="AL446" t="n">
        <v>0</v>
      </c>
      <c r="AM446" t="n">
        <v>3</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HYPERLINK("https://creighton-primo.hosted.exlibrisgroup.com/primo-explore/search?tab=default_tab&amp;search_scope=EVERYTHING&amp;vid=01CRU&amp;lang=en_US&amp;offset=0&amp;query=any,contains,991000303659702656","Catalog Record")</f>
        <v/>
      </c>
      <c r="AT446">
        <f>HYPERLINK("http://www.worldcat.org/oclc/45962954","WorldCat Record")</f>
        <v/>
      </c>
      <c r="AU446" t="inlineStr">
        <is>
          <t>651500:eng</t>
        </is>
      </c>
      <c r="AV446" t="inlineStr">
        <is>
          <t>45962954</t>
        </is>
      </c>
      <c r="AW446" t="inlineStr">
        <is>
          <t>991000303659702656</t>
        </is>
      </c>
      <c r="AX446" t="inlineStr">
        <is>
          <t>991000303659702656</t>
        </is>
      </c>
      <c r="AY446" t="inlineStr">
        <is>
          <t>2259528620002656</t>
        </is>
      </c>
      <c r="AZ446" t="inlineStr">
        <is>
          <t>BOOK</t>
        </is>
      </c>
      <c r="BB446" t="inlineStr">
        <is>
          <t>9780071122863</t>
        </is>
      </c>
      <c r="BC446" t="inlineStr">
        <is>
          <t>30001004236529</t>
        </is>
      </c>
      <c r="BD446" t="inlineStr">
        <is>
          <t>893737195</t>
        </is>
      </c>
    </row>
    <row r="447">
      <c r="A447" t="inlineStr">
        <is>
          <t>No</t>
        </is>
      </c>
      <c r="B447" t="inlineStr">
        <is>
          <t>QU 145 W468 1980</t>
        </is>
      </c>
      <c r="C447" t="inlineStr">
        <is>
          <t>0                      QU 0145000W  468         1980</t>
        </is>
      </c>
      <c r="D447" t="inlineStr">
        <is>
          <t>Nutrition : the challenge of being well nourished / Dorothy A. Wenck, Martin Baren, Sat Paul Dewan.</t>
        </is>
      </c>
      <c r="F447" t="inlineStr">
        <is>
          <t>No</t>
        </is>
      </c>
      <c r="G447" t="inlineStr">
        <is>
          <t>1</t>
        </is>
      </c>
      <c r="H447" t="inlineStr">
        <is>
          <t>No</t>
        </is>
      </c>
      <c r="I447" t="inlineStr">
        <is>
          <t>No</t>
        </is>
      </c>
      <c r="J447" t="inlineStr">
        <is>
          <t>0</t>
        </is>
      </c>
      <c r="K447" t="inlineStr">
        <is>
          <t>Wenck, Dorothy A.</t>
        </is>
      </c>
      <c r="L447" t="inlineStr">
        <is>
          <t>Reston, Va. : Reston Pub. Co., c1980.</t>
        </is>
      </c>
      <c r="M447" t="inlineStr">
        <is>
          <t>1980</t>
        </is>
      </c>
      <c r="O447" t="inlineStr">
        <is>
          <t>eng</t>
        </is>
      </c>
      <c r="P447" t="inlineStr">
        <is>
          <t>vau</t>
        </is>
      </c>
      <c r="R447" t="inlineStr">
        <is>
          <t xml:space="preserve">QU </t>
        </is>
      </c>
      <c r="S447" t="n">
        <v>13</v>
      </c>
      <c r="T447" t="n">
        <v>13</v>
      </c>
      <c r="U447" t="inlineStr">
        <is>
          <t>2003-05-04</t>
        </is>
      </c>
      <c r="V447" t="inlineStr">
        <is>
          <t>2003-05-04</t>
        </is>
      </c>
      <c r="W447" t="inlineStr">
        <is>
          <t>1988-01-25</t>
        </is>
      </c>
      <c r="X447" t="inlineStr">
        <is>
          <t>1988-01-25</t>
        </is>
      </c>
      <c r="Y447" t="n">
        <v>156</v>
      </c>
      <c r="Z447" t="n">
        <v>122</v>
      </c>
      <c r="AA447" t="n">
        <v>278</v>
      </c>
      <c r="AB447" t="n">
        <v>2</v>
      </c>
      <c r="AC447" t="n">
        <v>3</v>
      </c>
      <c r="AD447" t="n">
        <v>4</v>
      </c>
      <c r="AE447" t="n">
        <v>7</v>
      </c>
      <c r="AF447" t="n">
        <v>1</v>
      </c>
      <c r="AG447" t="n">
        <v>2</v>
      </c>
      <c r="AH447" t="n">
        <v>0</v>
      </c>
      <c r="AI447" t="n">
        <v>1</v>
      </c>
      <c r="AJ447" t="n">
        <v>2</v>
      </c>
      <c r="AK447" t="n">
        <v>3</v>
      </c>
      <c r="AL447" t="n">
        <v>1</v>
      </c>
      <c r="AM447" t="n">
        <v>2</v>
      </c>
      <c r="AN447" t="n">
        <v>0</v>
      </c>
      <c r="AO447" t="n">
        <v>0</v>
      </c>
      <c r="AP447" t="inlineStr">
        <is>
          <t>No</t>
        </is>
      </c>
      <c r="AQ447" t="inlineStr">
        <is>
          <t>Yes</t>
        </is>
      </c>
      <c r="AR447">
        <f>HYPERLINK("http://catalog.hathitrust.org/Record/000689529","HathiTrust Record")</f>
        <v/>
      </c>
      <c r="AS447">
        <f>HYPERLINK("https://creighton-primo.hosted.exlibrisgroup.com/primo-explore/search?tab=default_tab&amp;search_scope=EVERYTHING&amp;vid=01CRU&amp;lang=en_US&amp;offset=0&amp;query=any,contains,991000911329702656","Catalog Record")</f>
        <v/>
      </c>
      <c r="AT447">
        <f>HYPERLINK("http://www.worldcat.org/oclc/5611743","WorldCat Record")</f>
        <v/>
      </c>
      <c r="AU447" t="inlineStr">
        <is>
          <t>497611:eng</t>
        </is>
      </c>
      <c r="AV447" t="inlineStr">
        <is>
          <t>5611743</t>
        </is>
      </c>
      <c r="AW447" t="inlineStr">
        <is>
          <t>991000911329702656</t>
        </is>
      </c>
      <c r="AX447" t="inlineStr">
        <is>
          <t>991000911329702656</t>
        </is>
      </c>
      <c r="AY447" t="inlineStr">
        <is>
          <t>2261239200002656</t>
        </is>
      </c>
      <c r="AZ447" t="inlineStr">
        <is>
          <t>BOOK</t>
        </is>
      </c>
      <c r="BB447" t="inlineStr">
        <is>
          <t>9780835950619</t>
        </is>
      </c>
      <c r="BC447" t="inlineStr">
        <is>
          <t>30001000178097</t>
        </is>
      </c>
      <c r="BD447" t="inlineStr">
        <is>
          <t>893460126</t>
        </is>
      </c>
    </row>
    <row r="448">
      <c r="A448" t="inlineStr">
        <is>
          <t>No</t>
        </is>
      </c>
      <c r="B448" t="inlineStr">
        <is>
          <t>QU 145 W618ua 1998</t>
        </is>
      </c>
      <c r="C448" t="inlineStr">
        <is>
          <t>0                      QU 0145000W  618ua       1998</t>
        </is>
      </c>
      <c r="D448" t="inlineStr">
        <is>
          <t>Understanding normal and clinical nutrition / Eleanor Noss Whitney, Corinne Balog Cataldo, Sharon Rady Rolfes.</t>
        </is>
      </c>
      <c r="F448" t="inlineStr">
        <is>
          <t>No</t>
        </is>
      </c>
      <c r="G448" t="inlineStr">
        <is>
          <t>1</t>
        </is>
      </c>
      <c r="H448" t="inlineStr">
        <is>
          <t>No</t>
        </is>
      </c>
      <c r="I448" t="inlineStr">
        <is>
          <t>No</t>
        </is>
      </c>
      <c r="J448" t="inlineStr">
        <is>
          <t>0</t>
        </is>
      </c>
      <c r="K448" t="inlineStr">
        <is>
          <t>Whitney, Eleanor Noss.</t>
        </is>
      </c>
      <c r="L448" t="inlineStr">
        <is>
          <t>Belmont, CA : West/Wadsworth, c1998.</t>
        </is>
      </c>
      <c r="M448" t="inlineStr">
        <is>
          <t>1998</t>
        </is>
      </c>
      <c r="N448" t="inlineStr">
        <is>
          <t>5th ed.</t>
        </is>
      </c>
      <c r="O448" t="inlineStr">
        <is>
          <t>eng</t>
        </is>
      </c>
      <c r="P448" t="inlineStr">
        <is>
          <t>cau</t>
        </is>
      </c>
      <c r="R448" t="inlineStr">
        <is>
          <t xml:space="preserve">QU </t>
        </is>
      </c>
      <c r="S448" t="n">
        <v>15</v>
      </c>
      <c r="T448" t="n">
        <v>15</v>
      </c>
      <c r="U448" t="inlineStr">
        <is>
          <t>2009-08-30</t>
        </is>
      </c>
      <c r="V448" t="inlineStr">
        <is>
          <t>2009-08-30</t>
        </is>
      </c>
      <c r="W448" t="inlineStr">
        <is>
          <t>1999-01-19</t>
        </is>
      </c>
      <c r="X448" t="inlineStr">
        <is>
          <t>1999-01-19</t>
        </is>
      </c>
      <c r="Y448" t="n">
        <v>165</v>
      </c>
      <c r="Z448" t="n">
        <v>120</v>
      </c>
      <c r="AA448" t="n">
        <v>684</v>
      </c>
      <c r="AB448" t="n">
        <v>1</v>
      </c>
      <c r="AC448" t="n">
        <v>4</v>
      </c>
      <c r="AD448" t="n">
        <v>2</v>
      </c>
      <c r="AE448" t="n">
        <v>22</v>
      </c>
      <c r="AF448" t="n">
        <v>2</v>
      </c>
      <c r="AG448" t="n">
        <v>11</v>
      </c>
      <c r="AH448" t="n">
        <v>0</v>
      </c>
      <c r="AI448" t="n">
        <v>4</v>
      </c>
      <c r="AJ448" t="n">
        <v>0</v>
      </c>
      <c r="AK448" t="n">
        <v>9</v>
      </c>
      <c r="AL448" t="n">
        <v>0</v>
      </c>
      <c r="AM448" t="n">
        <v>3</v>
      </c>
      <c r="AN448" t="n">
        <v>0</v>
      </c>
      <c r="AO448" t="n">
        <v>0</v>
      </c>
      <c r="AP448" t="inlineStr">
        <is>
          <t>No</t>
        </is>
      </c>
      <c r="AQ448" t="inlineStr">
        <is>
          <t>Yes</t>
        </is>
      </c>
      <c r="AR448">
        <f>HYPERLINK("http://catalog.hathitrust.org/Record/008990410","HathiTrust Record")</f>
        <v/>
      </c>
      <c r="AS448">
        <f>HYPERLINK("https://creighton-primo.hosted.exlibrisgroup.com/primo-explore/search?tab=default_tab&amp;search_scope=EVERYTHING&amp;vid=01CRU&amp;lang=en_US&amp;offset=0&amp;query=any,contains,991001530889702656","Catalog Record")</f>
        <v/>
      </c>
      <c r="AT448">
        <f>HYPERLINK("http://www.worldcat.org/oclc/37640621","WorldCat Record")</f>
        <v/>
      </c>
      <c r="AU448" t="inlineStr">
        <is>
          <t>3805421720:eng</t>
        </is>
      </c>
      <c r="AV448" t="inlineStr">
        <is>
          <t>37640621</t>
        </is>
      </c>
      <c r="AW448" t="inlineStr">
        <is>
          <t>991001530889702656</t>
        </is>
      </c>
      <c r="AX448" t="inlineStr">
        <is>
          <t>991001530889702656</t>
        </is>
      </c>
      <c r="AY448" t="inlineStr">
        <is>
          <t>2269097590002656</t>
        </is>
      </c>
      <c r="AZ448" t="inlineStr">
        <is>
          <t>BOOK</t>
        </is>
      </c>
      <c r="BB448" t="inlineStr">
        <is>
          <t>9780534533342</t>
        </is>
      </c>
      <c r="BC448" t="inlineStr">
        <is>
          <t>30001003961424</t>
        </is>
      </c>
      <c r="BD448" t="inlineStr">
        <is>
          <t>893460685</t>
        </is>
      </c>
    </row>
    <row r="449">
      <c r="A449" t="inlineStr">
        <is>
          <t>No</t>
        </is>
      </c>
      <c r="B449" t="inlineStr">
        <is>
          <t>QU 145 W694n 1982</t>
        </is>
      </c>
      <c r="C449" t="inlineStr">
        <is>
          <t>0                      QU 0145000W  694n        1982</t>
        </is>
      </c>
      <c r="D449" t="inlineStr">
        <is>
          <t>Nutrition for the practicing physician / Mervyn D. Willard.</t>
        </is>
      </c>
      <c r="F449" t="inlineStr">
        <is>
          <t>No</t>
        </is>
      </c>
      <c r="G449" t="inlineStr">
        <is>
          <t>1</t>
        </is>
      </c>
      <c r="H449" t="inlineStr">
        <is>
          <t>No</t>
        </is>
      </c>
      <c r="I449" t="inlineStr">
        <is>
          <t>No</t>
        </is>
      </c>
      <c r="J449" t="inlineStr">
        <is>
          <t>0</t>
        </is>
      </c>
      <c r="K449" t="inlineStr">
        <is>
          <t>Willard, Mervyn D., 1943-</t>
        </is>
      </c>
      <c r="L449" t="inlineStr">
        <is>
          <t>Menlo Park, Calif. : Addison-Wesley, Medical/Nursing Division, c1982.</t>
        </is>
      </c>
      <c r="M449" t="inlineStr">
        <is>
          <t>1982</t>
        </is>
      </c>
      <c r="O449" t="inlineStr">
        <is>
          <t>eng</t>
        </is>
      </c>
      <c r="P449" t="inlineStr">
        <is>
          <t>xxu</t>
        </is>
      </c>
      <c r="Q449" t="inlineStr">
        <is>
          <t>Addison-Wesley clinical practice series</t>
        </is>
      </c>
      <c r="R449" t="inlineStr">
        <is>
          <t xml:space="preserve">QU </t>
        </is>
      </c>
      <c r="S449" t="n">
        <v>4</v>
      </c>
      <c r="T449" t="n">
        <v>4</v>
      </c>
      <c r="U449" t="inlineStr">
        <is>
          <t>1998-06-04</t>
        </is>
      </c>
      <c r="V449" t="inlineStr">
        <is>
          <t>1998-06-04</t>
        </is>
      </c>
      <c r="W449" t="inlineStr">
        <is>
          <t>1988-01-25</t>
        </is>
      </c>
      <c r="X449" t="inlineStr">
        <is>
          <t>1988-01-25</t>
        </is>
      </c>
      <c r="Y449" t="n">
        <v>142</v>
      </c>
      <c r="Z449" t="n">
        <v>122</v>
      </c>
      <c r="AA449" t="n">
        <v>124</v>
      </c>
      <c r="AB449" t="n">
        <v>1</v>
      </c>
      <c r="AC449" t="n">
        <v>1</v>
      </c>
      <c r="AD449" t="n">
        <v>1</v>
      </c>
      <c r="AE449" t="n">
        <v>1</v>
      </c>
      <c r="AF449" t="n">
        <v>0</v>
      </c>
      <c r="AG449" t="n">
        <v>0</v>
      </c>
      <c r="AH449" t="n">
        <v>1</v>
      </c>
      <c r="AI449" t="n">
        <v>1</v>
      </c>
      <c r="AJ449" t="n">
        <v>0</v>
      </c>
      <c r="AK449" t="n">
        <v>0</v>
      </c>
      <c r="AL449" t="n">
        <v>0</v>
      </c>
      <c r="AM449" t="n">
        <v>0</v>
      </c>
      <c r="AN449" t="n">
        <v>0</v>
      </c>
      <c r="AO449" t="n">
        <v>0</v>
      </c>
      <c r="AP449" t="inlineStr">
        <is>
          <t>No</t>
        </is>
      </c>
      <c r="AQ449" t="inlineStr">
        <is>
          <t>Yes</t>
        </is>
      </c>
      <c r="AR449">
        <f>HYPERLINK("http://catalog.hathitrust.org/Record/000198594","HathiTrust Record")</f>
        <v/>
      </c>
      <c r="AS449">
        <f>HYPERLINK("https://creighton-primo.hosted.exlibrisgroup.com/primo-explore/search?tab=default_tab&amp;search_scope=EVERYTHING&amp;vid=01CRU&amp;lang=en_US&amp;offset=0&amp;query=any,contains,991000911359702656","Catalog Record")</f>
        <v/>
      </c>
      <c r="AT449">
        <f>HYPERLINK("http://www.worldcat.org/oclc/8688445","WorldCat Record")</f>
        <v/>
      </c>
      <c r="AU449" t="inlineStr">
        <is>
          <t>43567120:eng</t>
        </is>
      </c>
      <c r="AV449" t="inlineStr">
        <is>
          <t>8688445</t>
        </is>
      </c>
      <c r="AW449" t="inlineStr">
        <is>
          <t>991000911359702656</t>
        </is>
      </c>
      <c r="AX449" t="inlineStr">
        <is>
          <t>991000911359702656</t>
        </is>
      </c>
      <c r="AY449" t="inlineStr">
        <is>
          <t>2266360190002656</t>
        </is>
      </c>
      <c r="AZ449" t="inlineStr">
        <is>
          <t>BOOK</t>
        </is>
      </c>
      <c r="BB449" t="inlineStr">
        <is>
          <t>9780201083200</t>
        </is>
      </c>
      <c r="BC449" t="inlineStr">
        <is>
          <t>30001000178089</t>
        </is>
      </c>
      <c r="BD449" t="inlineStr">
        <is>
          <t>893731528</t>
        </is>
      </c>
    </row>
    <row r="450">
      <c r="A450" t="inlineStr">
        <is>
          <t>No</t>
        </is>
      </c>
      <c r="B450" t="inlineStr">
        <is>
          <t>QU 145 W726n 1962</t>
        </is>
      </c>
      <c r="C450" t="inlineStr">
        <is>
          <t>0                      QU 0145000W  726n        1962</t>
        </is>
      </c>
      <c r="D450" t="inlineStr">
        <is>
          <t>Nutrition in a nutshell / Roger J. Williams.</t>
        </is>
      </c>
      <c r="F450" t="inlineStr">
        <is>
          <t>No</t>
        </is>
      </c>
      <c r="G450" t="inlineStr">
        <is>
          <t>1</t>
        </is>
      </c>
      <c r="H450" t="inlineStr">
        <is>
          <t>No</t>
        </is>
      </c>
      <c r="I450" t="inlineStr">
        <is>
          <t>No</t>
        </is>
      </c>
      <c r="J450" t="inlineStr">
        <is>
          <t>0</t>
        </is>
      </c>
      <c r="K450" t="inlineStr">
        <is>
          <t>Williams, Roger J. (Roger John), 1893-1988.</t>
        </is>
      </c>
      <c r="L450" t="inlineStr">
        <is>
          <t>Garden City, N.Y., Doubleday, c1962.</t>
        </is>
      </c>
      <c r="M450" t="inlineStr">
        <is>
          <t>1962</t>
        </is>
      </c>
      <c r="N450" t="inlineStr">
        <is>
          <t>[1st ed.]</t>
        </is>
      </c>
      <c r="O450" t="inlineStr">
        <is>
          <t>eng</t>
        </is>
      </c>
      <c r="P450" t="inlineStr">
        <is>
          <t>nyu</t>
        </is>
      </c>
      <c r="Q450" t="inlineStr">
        <is>
          <t>Dolphin books ; C396</t>
        </is>
      </c>
      <c r="R450" t="inlineStr">
        <is>
          <t xml:space="preserve">QU </t>
        </is>
      </c>
      <c r="S450" t="n">
        <v>3</v>
      </c>
      <c r="T450" t="n">
        <v>3</v>
      </c>
      <c r="U450" t="inlineStr">
        <is>
          <t>2007-02-04</t>
        </is>
      </c>
      <c r="V450" t="inlineStr">
        <is>
          <t>2007-02-04</t>
        </is>
      </c>
      <c r="W450" t="inlineStr">
        <is>
          <t>1988-01-25</t>
        </is>
      </c>
      <c r="X450" t="inlineStr">
        <is>
          <t>1988-01-25</t>
        </is>
      </c>
      <c r="Y450" t="n">
        <v>183</v>
      </c>
      <c r="Z450" t="n">
        <v>161</v>
      </c>
      <c r="AA450" t="n">
        <v>207</v>
      </c>
      <c r="AB450" t="n">
        <v>1</v>
      </c>
      <c r="AC450" t="n">
        <v>1</v>
      </c>
      <c r="AD450" t="n">
        <v>0</v>
      </c>
      <c r="AE450" t="n">
        <v>0</v>
      </c>
      <c r="AF450" t="n">
        <v>0</v>
      </c>
      <c r="AG450" t="n">
        <v>0</v>
      </c>
      <c r="AH450" t="n">
        <v>0</v>
      </c>
      <c r="AI450" t="n">
        <v>0</v>
      </c>
      <c r="AJ450" t="n">
        <v>0</v>
      </c>
      <c r="AK450" t="n">
        <v>0</v>
      </c>
      <c r="AL450" t="n">
        <v>0</v>
      </c>
      <c r="AM450" t="n">
        <v>0</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HYPERLINK("https://creighton-primo.hosted.exlibrisgroup.com/primo-explore/search?tab=default_tab&amp;search_scope=EVERYTHING&amp;vid=01CRU&amp;lang=en_US&amp;offset=0&amp;query=any,contains,991000911389702656","Catalog Record")</f>
        <v/>
      </c>
      <c r="AT450">
        <f>HYPERLINK("http://www.worldcat.org/oclc/1978085","WorldCat Record")</f>
        <v/>
      </c>
      <c r="AU450" t="inlineStr">
        <is>
          <t>131137363:eng</t>
        </is>
      </c>
      <c r="AV450" t="inlineStr">
        <is>
          <t>1978085</t>
        </is>
      </c>
      <c r="AW450" t="inlineStr">
        <is>
          <t>991000911389702656</t>
        </is>
      </c>
      <c r="AX450" t="inlineStr">
        <is>
          <t>991000911389702656</t>
        </is>
      </c>
      <c r="AY450" t="inlineStr">
        <is>
          <t>2267898660002656</t>
        </is>
      </c>
      <c r="AZ450" t="inlineStr">
        <is>
          <t>BOOK</t>
        </is>
      </c>
      <c r="BC450" t="inlineStr">
        <is>
          <t>30001000178105</t>
        </is>
      </c>
      <c r="BD450" t="inlineStr">
        <is>
          <t>893731529</t>
        </is>
      </c>
    </row>
    <row r="451">
      <c r="A451" t="inlineStr">
        <is>
          <t>No</t>
        </is>
      </c>
      <c r="B451" t="inlineStr">
        <is>
          <t>QU 145 W727e 1982</t>
        </is>
      </c>
      <c r="C451" t="inlineStr">
        <is>
          <t>0                      QU 0145000W  727e        1982</t>
        </is>
      </c>
      <c r="D451" t="inlineStr">
        <is>
          <t>Essentials of nutrition and diet therapy / Sue Rodwell Williams.</t>
        </is>
      </c>
      <c r="F451" t="inlineStr">
        <is>
          <t>No</t>
        </is>
      </c>
      <c r="G451" t="inlineStr">
        <is>
          <t>1</t>
        </is>
      </c>
      <c r="H451" t="inlineStr">
        <is>
          <t>No</t>
        </is>
      </c>
      <c r="I451" t="inlineStr">
        <is>
          <t>Yes</t>
        </is>
      </c>
      <c r="J451" t="inlineStr">
        <is>
          <t>0</t>
        </is>
      </c>
      <c r="K451" t="inlineStr">
        <is>
          <t>Williams, Sue Rodwell.</t>
        </is>
      </c>
      <c r="L451" t="inlineStr">
        <is>
          <t>St. Louis : Mosby, c1982.</t>
        </is>
      </c>
      <c r="M451" t="inlineStr">
        <is>
          <t>1982</t>
        </is>
      </c>
      <c r="N451" t="inlineStr">
        <is>
          <t>3rd ed.</t>
        </is>
      </c>
      <c r="O451" t="inlineStr">
        <is>
          <t>eng</t>
        </is>
      </c>
      <c r="P451" t="inlineStr">
        <is>
          <t>xxu</t>
        </is>
      </c>
      <c r="R451" t="inlineStr">
        <is>
          <t xml:space="preserve">QU </t>
        </is>
      </c>
      <c r="S451" t="n">
        <v>5</v>
      </c>
      <c r="T451" t="n">
        <v>5</v>
      </c>
      <c r="U451" t="inlineStr">
        <is>
          <t>1997-04-15</t>
        </is>
      </c>
      <c r="V451" t="inlineStr">
        <is>
          <t>1997-04-15</t>
        </is>
      </c>
      <c r="W451" t="inlineStr">
        <is>
          <t>1988-01-25</t>
        </is>
      </c>
      <c r="X451" t="inlineStr">
        <is>
          <t>1988-01-25</t>
        </is>
      </c>
      <c r="Y451" t="n">
        <v>249</v>
      </c>
      <c r="Z451" t="n">
        <v>202</v>
      </c>
      <c r="AA451" t="n">
        <v>851</v>
      </c>
      <c r="AB451" t="n">
        <v>1</v>
      </c>
      <c r="AC451" t="n">
        <v>5</v>
      </c>
      <c r="AD451" t="n">
        <v>2</v>
      </c>
      <c r="AE451" t="n">
        <v>13</v>
      </c>
      <c r="AF451" t="n">
        <v>1</v>
      </c>
      <c r="AG451" t="n">
        <v>5</v>
      </c>
      <c r="AH451" t="n">
        <v>1</v>
      </c>
      <c r="AI451" t="n">
        <v>2</v>
      </c>
      <c r="AJ451" t="n">
        <v>0</v>
      </c>
      <c r="AK451" t="n">
        <v>3</v>
      </c>
      <c r="AL451" t="n">
        <v>0</v>
      </c>
      <c r="AM451" t="n">
        <v>3</v>
      </c>
      <c r="AN451" t="n">
        <v>0</v>
      </c>
      <c r="AO451" t="n">
        <v>0</v>
      </c>
      <c r="AP451" t="inlineStr">
        <is>
          <t>No</t>
        </is>
      </c>
      <c r="AQ451" t="inlineStr">
        <is>
          <t>Yes</t>
        </is>
      </c>
      <c r="AR451">
        <f>HYPERLINK("http://catalog.hathitrust.org/Record/000269768","HathiTrust Record")</f>
        <v/>
      </c>
      <c r="AS451">
        <f>HYPERLINK("https://creighton-primo.hosted.exlibrisgroup.com/primo-explore/search?tab=default_tab&amp;search_scope=EVERYTHING&amp;vid=01CRU&amp;lang=en_US&amp;offset=0&amp;query=any,contains,991000911419702656","Catalog Record")</f>
        <v/>
      </c>
      <c r="AT451">
        <f>HYPERLINK("http://www.worldcat.org/oclc/7814344","WorldCat Record")</f>
        <v/>
      </c>
      <c r="AU451" t="inlineStr">
        <is>
          <t>3373085004:eng</t>
        </is>
      </c>
      <c r="AV451" t="inlineStr">
        <is>
          <t>7814344</t>
        </is>
      </c>
      <c r="AW451" t="inlineStr">
        <is>
          <t>991000911419702656</t>
        </is>
      </c>
      <c r="AX451" t="inlineStr">
        <is>
          <t>991000911419702656</t>
        </is>
      </c>
      <c r="AY451" t="inlineStr">
        <is>
          <t>2272625140002656</t>
        </is>
      </c>
      <c r="AZ451" t="inlineStr">
        <is>
          <t>BOOK</t>
        </is>
      </c>
      <c r="BB451" t="inlineStr">
        <is>
          <t>9780801655753</t>
        </is>
      </c>
      <c r="BC451" t="inlineStr">
        <is>
          <t>30001000178113</t>
        </is>
      </c>
      <c r="BD451" t="inlineStr">
        <is>
          <t>893273474</t>
        </is>
      </c>
    </row>
    <row r="452">
      <c r="A452" t="inlineStr">
        <is>
          <t>No</t>
        </is>
      </c>
      <c r="B452" t="inlineStr">
        <is>
          <t>QU 145.5 B786f 1998</t>
        </is>
      </c>
      <c r="C452" t="inlineStr">
        <is>
          <t>0                      QU 0145500B  786f        1998</t>
        </is>
      </c>
      <c r="D452" t="inlineStr">
        <is>
          <t>Bowes &amp; Church's food values of portions commonly used.</t>
        </is>
      </c>
      <c r="F452" t="inlineStr">
        <is>
          <t>No</t>
        </is>
      </c>
      <c r="G452" t="inlineStr">
        <is>
          <t>1</t>
        </is>
      </c>
      <c r="H452" t="inlineStr">
        <is>
          <t>No</t>
        </is>
      </c>
      <c r="I452" t="inlineStr">
        <is>
          <t>Yes</t>
        </is>
      </c>
      <c r="J452" t="inlineStr">
        <is>
          <t>0</t>
        </is>
      </c>
      <c r="K452" t="inlineStr">
        <is>
          <t>Bowes, Anna De Planter.</t>
        </is>
      </c>
      <c r="L452" t="inlineStr">
        <is>
          <t>Philadelphia : Lippincott, c1998.</t>
        </is>
      </c>
      <c r="M452" t="inlineStr">
        <is>
          <t>1998</t>
        </is>
      </c>
      <c r="N452" t="inlineStr">
        <is>
          <t>17th ed. / revised by Jean A.T. Pennington.</t>
        </is>
      </c>
      <c r="O452" t="inlineStr">
        <is>
          <t>eng</t>
        </is>
      </c>
      <c r="P452" t="inlineStr">
        <is>
          <t>pau</t>
        </is>
      </c>
      <c r="R452" t="inlineStr">
        <is>
          <t xml:space="preserve">QU </t>
        </is>
      </c>
      <c r="S452" t="n">
        <v>9</v>
      </c>
      <c r="T452" t="n">
        <v>9</v>
      </c>
      <c r="U452" t="inlineStr">
        <is>
          <t>2009-09-30</t>
        </is>
      </c>
      <c r="V452" t="inlineStr">
        <is>
          <t>2009-09-30</t>
        </is>
      </c>
      <c r="W452" t="inlineStr">
        <is>
          <t>1997-12-18</t>
        </is>
      </c>
      <c r="X452" t="inlineStr">
        <is>
          <t>1997-12-18</t>
        </is>
      </c>
      <c r="Y452" t="n">
        <v>704</v>
      </c>
      <c r="Z452" t="n">
        <v>633</v>
      </c>
      <c r="AA452" t="n">
        <v>2213</v>
      </c>
      <c r="AB452" t="n">
        <v>5</v>
      </c>
      <c r="AC452" t="n">
        <v>17</v>
      </c>
      <c r="AD452" t="n">
        <v>14</v>
      </c>
      <c r="AE452" t="n">
        <v>38</v>
      </c>
      <c r="AF452" t="n">
        <v>5</v>
      </c>
      <c r="AG452" t="n">
        <v>14</v>
      </c>
      <c r="AH452" t="n">
        <v>3</v>
      </c>
      <c r="AI452" t="n">
        <v>7</v>
      </c>
      <c r="AJ452" t="n">
        <v>5</v>
      </c>
      <c r="AK452" t="n">
        <v>16</v>
      </c>
      <c r="AL452" t="n">
        <v>3</v>
      </c>
      <c r="AM452" t="n">
        <v>7</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HYPERLINK("https://creighton-primo.hosted.exlibrisgroup.com/primo-explore/search?tab=default_tab&amp;search_scope=EVERYTHING&amp;vid=01CRU&amp;lang=en_US&amp;offset=0&amp;query=any,contains,991001277539702656","Catalog Record")</f>
        <v/>
      </c>
      <c r="AT452">
        <f>HYPERLINK("http://www.worldcat.org/oclc/37037405","WorldCat Record")</f>
        <v/>
      </c>
      <c r="AU452" t="inlineStr">
        <is>
          <t>12567099:eng</t>
        </is>
      </c>
      <c r="AV452" t="inlineStr">
        <is>
          <t>37037405</t>
        </is>
      </c>
      <c r="AW452" t="inlineStr">
        <is>
          <t>991001277539702656</t>
        </is>
      </c>
      <c r="AX452" t="inlineStr">
        <is>
          <t>991001277539702656</t>
        </is>
      </c>
      <c r="AY452" t="inlineStr">
        <is>
          <t>2259357170002656</t>
        </is>
      </c>
      <c r="AZ452" t="inlineStr">
        <is>
          <t>BOOK</t>
        </is>
      </c>
      <c r="BB452" t="inlineStr">
        <is>
          <t>9780397554355</t>
        </is>
      </c>
      <c r="BC452" t="inlineStr">
        <is>
          <t>30001003700095</t>
        </is>
      </c>
      <c r="BD452" t="inlineStr">
        <is>
          <t>893369280</t>
        </is>
      </c>
    </row>
    <row r="453">
      <c r="A453" t="inlineStr">
        <is>
          <t>No</t>
        </is>
      </c>
      <c r="B453" t="inlineStr">
        <is>
          <t>QU145.5 P536 2007</t>
        </is>
      </c>
      <c r="C453" t="inlineStr">
        <is>
          <t>0                      QU 0145500P  536         2007</t>
        </is>
      </c>
      <c r="D453" t="inlineStr">
        <is>
          <t>Pharmaceutical care with dietary supplements : concepts and common sense / [edited by] Cydney E. McQueen ; with nine contributors.</t>
        </is>
      </c>
      <c r="F453" t="inlineStr">
        <is>
          <t>No</t>
        </is>
      </c>
      <c r="G453" t="inlineStr">
        <is>
          <t>1</t>
        </is>
      </c>
      <c r="H453" t="inlineStr">
        <is>
          <t>No</t>
        </is>
      </c>
      <c r="I453" t="inlineStr">
        <is>
          <t>No</t>
        </is>
      </c>
      <c r="J453" t="inlineStr">
        <is>
          <t>0</t>
        </is>
      </c>
      <c r="L453" t="inlineStr">
        <is>
          <t>Bethesda, Md. : American Society of Health-System Pharmacists, c2007.</t>
        </is>
      </c>
      <c r="M453" t="inlineStr">
        <is>
          <t>2007</t>
        </is>
      </c>
      <c r="O453" t="inlineStr">
        <is>
          <t>eng</t>
        </is>
      </c>
      <c r="P453" t="inlineStr">
        <is>
          <t>mdu</t>
        </is>
      </c>
      <c r="R453" t="inlineStr">
        <is>
          <t xml:space="preserve">QU </t>
        </is>
      </c>
      <c r="S453" t="n">
        <v>3</v>
      </c>
      <c r="T453" t="n">
        <v>3</v>
      </c>
      <c r="U453" t="inlineStr">
        <is>
          <t>2008-05-30</t>
        </is>
      </c>
      <c r="V453" t="inlineStr">
        <is>
          <t>2008-05-30</t>
        </is>
      </c>
      <c r="W453" t="inlineStr">
        <is>
          <t>2007-11-26</t>
        </is>
      </c>
      <c r="X453" t="inlineStr">
        <is>
          <t>2007-11-26</t>
        </is>
      </c>
      <c r="Y453" t="n">
        <v>86</v>
      </c>
      <c r="Z453" t="n">
        <v>61</v>
      </c>
      <c r="AA453" t="n">
        <v>73</v>
      </c>
      <c r="AB453" t="n">
        <v>1</v>
      </c>
      <c r="AC453" t="n">
        <v>1</v>
      </c>
      <c r="AD453" t="n">
        <v>1</v>
      </c>
      <c r="AE453" t="n">
        <v>1</v>
      </c>
      <c r="AF453" t="n">
        <v>1</v>
      </c>
      <c r="AG453" t="n">
        <v>1</v>
      </c>
      <c r="AH453" t="n">
        <v>0</v>
      </c>
      <c r="AI453" t="n">
        <v>0</v>
      </c>
      <c r="AJ453" t="n">
        <v>0</v>
      </c>
      <c r="AK453" t="n">
        <v>0</v>
      </c>
      <c r="AL453" t="n">
        <v>0</v>
      </c>
      <c r="AM453" t="n">
        <v>0</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HYPERLINK("https://creighton-primo.hosted.exlibrisgroup.com/primo-explore/search?tab=default_tab&amp;search_scope=EVERYTHING&amp;vid=01CRU&amp;lang=en_US&amp;offset=0&amp;query=any,contains,991000663609702656","Catalog Record")</f>
        <v/>
      </c>
      <c r="AT453">
        <f>HYPERLINK("http://www.worldcat.org/oclc/75087957","WorldCat Record")</f>
        <v/>
      </c>
      <c r="AU453" t="inlineStr">
        <is>
          <t>366999126:eng</t>
        </is>
      </c>
      <c r="AV453" t="inlineStr">
        <is>
          <t>75087957</t>
        </is>
      </c>
      <c r="AW453" t="inlineStr">
        <is>
          <t>991000663609702656</t>
        </is>
      </c>
      <c r="AX453" t="inlineStr">
        <is>
          <t>991000663609702656</t>
        </is>
      </c>
      <c r="AY453" t="inlineStr">
        <is>
          <t>2268391720002656</t>
        </is>
      </c>
      <c r="AZ453" t="inlineStr">
        <is>
          <t>BOOK</t>
        </is>
      </c>
      <c r="BB453" t="inlineStr">
        <is>
          <t>9781585281435</t>
        </is>
      </c>
      <c r="BC453" t="inlineStr">
        <is>
          <t>30001005269768</t>
        </is>
      </c>
      <c r="BD453" t="inlineStr">
        <is>
          <t>893267086</t>
        </is>
      </c>
    </row>
    <row r="454">
      <c r="A454" t="inlineStr">
        <is>
          <t>No</t>
        </is>
      </c>
      <c r="B454" t="inlineStr">
        <is>
          <t>QU 146.1 J54n 1983</t>
        </is>
      </c>
      <c r="C454" t="inlineStr">
        <is>
          <t>0                      QU 0146100J  54n         1983</t>
        </is>
      </c>
      <c r="D454" t="inlineStr">
        <is>
          <t>Nutritional assessment : a manual for practitioners / Terri G. Jensen, Deanne M. Englert, Stanley J. Dudrick.</t>
        </is>
      </c>
      <c r="F454" t="inlineStr">
        <is>
          <t>No</t>
        </is>
      </c>
      <c r="G454" t="inlineStr">
        <is>
          <t>1</t>
        </is>
      </c>
      <c r="H454" t="inlineStr">
        <is>
          <t>No</t>
        </is>
      </c>
      <c r="I454" t="inlineStr">
        <is>
          <t>No</t>
        </is>
      </c>
      <c r="J454" t="inlineStr">
        <is>
          <t>0</t>
        </is>
      </c>
      <c r="K454" t="inlineStr">
        <is>
          <t>Jensen, Terri G.</t>
        </is>
      </c>
      <c r="L454" t="inlineStr">
        <is>
          <t>Norwalk, CT : Appleton-Century-Crofts, c1983.</t>
        </is>
      </c>
      <c r="M454" t="inlineStr">
        <is>
          <t>1983</t>
        </is>
      </c>
      <c r="O454" t="inlineStr">
        <is>
          <t>eng</t>
        </is>
      </c>
      <c r="P454" t="inlineStr">
        <is>
          <t>xxu</t>
        </is>
      </c>
      <c r="R454" t="inlineStr">
        <is>
          <t xml:space="preserve">QU </t>
        </is>
      </c>
      <c r="S454" t="n">
        <v>4</v>
      </c>
      <c r="T454" t="n">
        <v>4</v>
      </c>
      <c r="U454" t="inlineStr">
        <is>
          <t>1994-04-06</t>
        </is>
      </c>
      <c r="V454" t="inlineStr">
        <is>
          <t>1994-04-06</t>
        </is>
      </c>
      <c r="W454" t="inlineStr">
        <is>
          <t>1988-01-25</t>
        </is>
      </c>
      <c r="X454" t="inlineStr">
        <is>
          <t>1988-01-25</t>
        </is>
      </c>
      <c r="Y454" t="n">
        <v>149</v>
      </c>
      <c r="Z454" t="n">
        <v>116</v>
      </c>
      <c r="AA454" t="n">
        <v>117</v>
      </c>
      <c r="AB454" t="n">
        <v>2</v>
      </c>
      <c r="AC454" t="n">
        <v>2</v>
      </c>
      <c r="AD454" t="n">
        <v>5</v>
      </c>
      <c r="AE454" t="n">
        <v>5</v>
      </c>
      <c r="AF454" t="n">
        <v>3</v>
      </c>
      <c r="AG454" t="n">
        <v>3</v>
      </c>
      <c r="AH454" t="n">
        <v>1</v>
      </c>
      <c r="AI454" t="n">
        <v>1</v>
      </c>
      <c r="AJ454" t="n">
        <v>3</v>
      </c>
      <c r="AK454" t="n">
        <v>3</v>
      </c>
      <c r="AL454" t="n">
        <v>1</v>
      </c>
      <c r="AM454" t="n">
        <v>1</v>
      </c>
      <c r="AN454" t="n">
        <v>0</v>
      </c>
      <c r="AO454" t="n">
        <v>0</v>
      </c>
      <c r="AP454" t="inlineStr">
        <is>
          <t>No</t>
        </is>
      </c>
      <c r="AQ454" t="inlineStr">
        <is>
          <t>Yes</t>
        </is>
      </c>
      <c r="AR454">
        <f>HYPERLINK("http://catalog.hathitrust.org/Record/000326830","HathiTrust Record")</f>
        <v/>
      </c>
      <c r="AS454">
        <f>HYPERLINK("https://creighton-primo.hosted.exlibrisgroup.com/primo-explore/search?tab=default_tab&amp;search_scope=EVERYTHING&amp;vid=01CRU&amp;lang=en_US&amp;offset=0&amp;query=any,contains,991000911509702656","Catalog Record")</f>
        <v/>
      </c>
      <c r="AT454">
        <f>HYPERLINK("http://www.worldcat.org/oclc/9133037","WorldCat Record")</f>
        <v/>
      </c>
      <c r="AU454" t="inlineStr">
        <is>
          <t>836711168:eng</t>
        </is>
      </c>
      <c r="AV454" t="inlineStr">
        <is>
          <t>9133037</t>
        </is>
      </c>
      <c r="AW454" t="inlineStr">
        <is>
          <t>991000911509702656</t>
        </is>
      </c>
      <c r="AX454" t="inlineStr">
        <is>
          <t>991000911509702656</t>
        </is>
      </c>
      <c r="AY454" t="inlineStr">
        <is>
          <t>2268809090002656</t>
        </is>
      </c>
      <c r="AZ454" t="inlineStr">
        <is>
          <t>BOOK</t>
        </is>
      </c>
      <c r="BB454" t="inlineStr">
        <is>
          <t>9780838570784</t>
        </is>
      </c>
      <c r="BC454" t="inlineStr">
        <is>
          <t>30001000178188</t>
        </is>
      </c>
      <c r="BD454" t="inlineStr">
        <is>
          <t>893831721</t>
        </is>
      </c>
    </row>
    <row r="455">
      <c r="A455" t="inlineStr">
        <is>
          <t>No</t>
        </is>
      </c>
      <c r="B455" t="inlineStr">
        <is>
          <t>QU 160 A838 1990</t>
        </is>
      </c>
      <c r="C455" t="inlineStr">
        <is>
          <t>0                      QU 0160000A  838         1990</t>
        </is>
      </c>
      <c r="D455" t="inlineStr">
        <is>
          <t>Aspects of some vitamins, minerals, and enzymes in health and disease / volume editor, Geoffrey H. Bourne.</t>
        </is>
      </c>
      <c r="F455" t="inlineStr">
        <is>
          <t>No</t>
        </is>
      </c>
      <c r="G455" t="inlineStr">
        <is>
          <t>1</t>
        </is>
      </c>
      <c r="H455" t="inlineStr">
        <is>
          <t>No</t>
        </is>
      </c>
      <c r="I455" t="inlineStr">
        <is>
          <t>No</t>
        </is>
      </c>
      <c r="J455" t="inlineStr">
        <is>
          <t>0</t>
        </is>
      </c>
      <c r="L455" t="inlineStr">
        <is>
          <t>Basel ; New York : Karger, c1990.</t>
        </is>
      </c>
      <c r="M455" t="inlineStr">
        <is>
          <t>1990</t>
        </is>
      </c>
      <c r="O455" t="inlineStr">
        <is>
          <t>eng</t>
        </is>
      </c>
      <c r="P455" t="inlineStr">
        <is>
          <t xml:space="preserve">sz </t>
        </is>
      </c>
      <c r="Q455" t="inlineStr">
        <is>
          <t>World review of nutrition and dietetics ; vol. 62</t>
        </is>
      </c>
      <c r="R455" t="inlineStr">
        <is>
          <t xml:space="preserve">QU </t>
        </is>
      </c>
      <c r="S455" t="n">
        <v>8</v>
      </c>
      <c r="T455" t="n">
        <v>8</v>
      </c>
      <c r="U455" t="inlineStr">
        <is>
          <t>1991-01-31</t>
        </is>
      </c>
      <c r="V455" t="inlineStr">
        <is>
          <t>1991-01-31</t>
        </is>
      </c>
      <c r="W455" t="inlineStr">
        <is>
          <t>1990-12-17</t>
        </is>
      </c>
      <c r="X455" t="inlineStr">
        <is>
          <t>1990-12-17</t>
        </is>
      </c>
      <c r="Y455" t="n">
        <v>141</v>
      </c>
      <c r="Z455" t="n">
        <v>85</v>
      </c>
      <c r="AA455" t="n">
        <v>96</v>
      </c>
      <c r="AB455" t="n">
        <v>2</v>
      </c>
      <c r="AC455" t="n">
        <v>2</v>
      </c>
      <c r="AD455" t="n">
        <v>3</v>
      </c>
      <c r="AE455" t="n">
        <v>3</v>
      </c>
      <c r="AF455" t="n">
        <v>0</v>
      </c>
      <c r="AG455" t="n">
        <v>0</v>
      </c>
      <c r="AH455" t="n">
        <v>2</v>
      </c>
      <c r="AI455" t="n">
        <v>2</v>
      </c>
      <c r="AJ455" t="n">
        <v>0</v>
      </c>
      <c r="AK455" t="n">
        <v>0</v>
      </c>
      <c r="AL455" t="n">
        <v>1</v>
      </c>
      <c r="AM455" t="n">
        <v>1</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HYPERLINK("https://creighton-primo.hosted.exlibrisgroup.com/primo-explore/search?tab=default_tab&amp;search_scope=EVERYTHING&amp;vid=01CRU&amp;lang=en_US&amp;offset=0&amp;query=any,contains,991000768159702656","Catalog Record")</f>
        <v/>
      </c>
      <c r="AT455">
        <f>HYPERLINK("http://www.worldcat.org/oclc/20492372","WorldCat Record")</f>
        <v/>
      </c>
      <c r="AU455" t="inlineStr">
        <is>
          <t>22674803:eng</t>
        </is>
      </c>
      <c r="AV455" t="inlineStr">
        <is>
          <t>20492372</t>
        </is>
      </c>
      <c r="AW455" t="inlineStr">
        <is>
          <t>991000768159702656</t>
        </is>
      </c>
      <c r="AX455" t="inlineStr">
        <is>
          <t>991000768159702656</t>
        </is>
      </c>
      <c r="AY455" t="inlineStr">
        <is>
          <t>2268315800002656</t>
        </is>
      </c>
      <c r="AZ455" t="inlineStr">
        <is>
          <t>BOOK</t>
        </is>
      </c>
      <c r="BB455" t="inlineStr">
        <is>
          <t>9783805549943</t>
        </is>
      </c>
      <c r="BC455" t="inlineStr">
        <is>
          <t>30001002061440</t>
        </is>
      </c>
      <c r="BD455" t="inlineStr">
        <is>
          <t>893834310</t>
        </is>
      </c>
    </row>
    <row r="456">
      <c r="A456" t="inlineStr">
        <is>
          <t>No</t>
        </is>
      </c>
      <c r="B456" t="inlineStr">
        <is>
          <t>QU 160 M346g 1975</t>
        </is>
      </c>
      <c r="C456" t="inlineStr">
        <is>
          <t>0                      QU 0160000M  346g        1975</t>
        </is>
      </c>
      <c r="D456" t="inlineStr">
        <is>
          <t>A guide to the vitamins : their role in health and disease / John Marks.</t>
        </is>
      </c>
      <c r="F456" t="inlineStr">
        <is>
          <t>No</t>
        </is>
      </c>
      <c r="G456" t="inlineStr">
        <is>
          <t>1</t>
        </is>
      </c>
      <c r="H456" t="inlineStr">
        <is>
          <t>No</t>
        </is>
      </c>
      <c r="I456" t="inlineStr">
        <is>
          <t>No</t>
        </is>
      </c>
      <c r="J456" t="inlineStr">
        <is>
          <t>0</t>
        </is>
      </c>
      <c r="K456" t="inlineStr">
        <is>
          <t>Marks, John, 1924-</t>
        </is>
      </c>
      <c r="L456" t="inlineStr">
        <is>
          <t>Lancaster, Eng. : Medical and Technical Pub. Co., c1975.</t>
        </is>
      </c>
      <c r="M456" t="inlineStr">
        <is>
          <t>1975</t>
        </is>
      </c>
      <c r="O456" t="inlineStr">
        <is>
          <t>eng</t>
        </is>
      </c>
      <c r="P456" t="inlineStr">
        <is>
          <t>enk</t>
        </is>
      </c>
      <c r="R456" t="inlineStr">
        <is>
          <t xml:space="preserve">QU </t>
        </is>
      </c>
      <c r="S456" t="n">
        <v>7</v>
      </c>
      <c r="T456" t="n">
        <v>7</v>
      </c>
      <c r="U456" t="inlineStr">
        <is>
          <t>1996-02-14</t>
        </is>
      </c>
      <c r="V456" t="inlineStr">
        <is>
          <t>1996-02-14</t>
        </is>
      </c>
      <c r="W456" t="inlineStr">
        <is>
          <t>1988-01-04</t>
        </is>
      </c>
      <c r="X456" t="inlineStr">
        <is>
          <t>1988-01-04</t>
        </is>
      </c>
      <c r="Y456" t="n">
        <v>140</v>
      </c>
      <c r="Z456" t="n">
        <v>73</v>
      </c>
      <c r="AA456" t="n">
        <v>348</v>
      </c>
      <c r="AB456" t="n">
        <v>1</v>
      </c>
      <c r="AC456" t="n">
        <v>3</v>
      </c>
      <c r="AD456" t="n">
        <v>2</v>
      </c>
      <c r="AE456" t="n">
        <v>14</v>
      </c>
      <c r="AF456" t="n">
        <v>0</v>
      </c>
      <c r="AG456" t="n">
        <v>9</v>
      </c>
      <c r="AH456" t="n">
        <v>2</v>
      </c>
      <c r="AI456" t="n">
        <v>4</v>
      </c>
      <c r="AJ456" t="n">
        <v>1</v>
      </c>
      <c r="AK456" t="n">
        <v>5</v>
      </c>
      <c r="AL456" t="n">
        <v>0</v>
      </c>
      <c r="AM456" t="n">
        <v>2</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HYPERLINK("https://creighton-primo.hosted.exlibrisgroup.com/primo-explore/search?tab=default_tab&amp;search_scope=EVERYTHING&amp;vid=01CRU&amp;lang=en_US&amp;offset=0&amp;query=any,contains,991000911679702656","Catalog Record")</f>
        <v/>
      </c>
      <c r="AT456">
        <f>HYPERLINK("http://www.worldcat.org/oclc/2074097","WorldCat Record")</f>
        <v/>
      </c>
      <c r="AU456" t="inlineStr">
        <is>
          <t>478694168:eng</t>
        </is>
      </c>
      <c r="AV456" t="inlineStr">
        <is>
          <t>2074097</t>
        </is>
      </c>
      <c r="AW456" t="inlineStr">
        <is>
          <t>991000911679702656</t>
        </is>
      </c>
      <c r="AX456" t="inlineStr">
        <is>
          <t>991000911679702656</t>
        </is>
      </c>
      <c r="AY456" t="inlineStr">
        <is>
          <t>2264012550002656</t>
        </is>
      </c>
      <c r="AZ456" t="inlineStr">
        <is>
          <t>BOOK</t>
        </is>
      </c>
      <c r="BC456" t="inlineStr">
        <is>
          <t>30001000178261</t>
        </is>
      </c>
      <c r="BD456" t="inlineStr">
        <is>
          <t>893278457</t>
        </is>
      </c>
    </row>
    <row r="457">
      <c r="A457" t="inlineStr">
        <is>
          <t>No</t>
        </is>
      </c>
      <c r="B457" t="inlineStr">
        <is>
          <t>QU 160 R815d 1974</t>
        </is>
      </c>
      <c r="C457" t="inlineStr">
        <is>
          <t>0                      QU 0160000R  815d        1974</t>
        </is>
      </c>
      <c r="D457" t="inlineStr">
        <is>
          <t>The doctor's book of vitamin therapy : megavitamins for health / by Harold Rosenberg and A. N. Feldzamen.</t>
        </is>
      </c>
      <c r="F457" t="inlineStr">
        <is>
          <t>No</t>
        </is>
      </c>
      <c r="G457" t="inlineStr">
        <is>
          <t>1</t>
        </is>
      </c>
      <c r="H457" t="inlineStr">
        <is>
          <t>No</t>
        </is>
      </c>
      <c r="I457" t="inlineStr">
        <is>
          <t>No</t>
        </is>
      </c>
      <c r="J457" t="inlineStr">
        <is>
          <t>0</t>
        </is>
      </c>
      <c r="K457" t="inlineStr">
        <is>
          <t>Rosenberg, Harold, 1921-</t>
        </is>
      </c>
      <c r="L457" t="inlineStr">
        <is>
          <t>New York : Putnam, [1974]</t>
        </is>
      </c>
      <c r="M457" t="inlineStr">
        <is>
          <t>1974</t>
        </is>
      </c>
      <c r="O457" t="inlineStr">
        <is>
          <t>eng</t>
        </is>
      </c>
      <c r="P457" t="inlineStr">
        <is>
          <t>nyu</t>
        </is>
      </c>
      <c r="R457" t="inlineStr">
        <is>
          <t xml:space="preserve">QU </t>
        </is>
      </c>
      <c r="S457" t="n">
        <v>7</v>
      </c>
      <c r="T457" t="n">
        <v>7</v>
      </c>
      <c r="U457" t="inlineStr">
        <is>
          <t>2002-10-21</t>
        </is>
      </c>
      <c r="V457" t="inlineStr">
        <is>
          <t>2002-10-21</t>
        </is>
      </c>
      <c r="W457" t="inlineStr">
        <is>
          <t>1988-01-04</t>
        </is>
      </c>
      <c r="X457" t="inlineStr">
        <is>
          <t>1988-01-04</t>
        </is>
      </c>
      <c r="Y457" t="n">
        <v>233</v>
      </c>
      <c r="Z457" t="n">
        <v>220</v>
      </c>
      <c r="AA457" t="n">
        <v>226</v>
      </c>
      <c r="AB457" t="n">
        <v>2</v>
      </c>
      <c r="AC457" t="n">
        <v>2</v>
      </c>
      <c r="AD457" t="n">
        <v>1</v>
      </c>
      <c r="AE457" t="n">
        <v>1</v>
      </c>
      <c r="AF457" t="n">
        <v>0</v>
      </c>
      <c r="AG457" t="n">
        <v>0</v>
      </c>
      <c r="AH457" t="n">
        <v>0</v>
      </c>
      <c r="AI457" t="n">
        <v>0</v>
      </c>
      <c r="AJ457" t="n">
        <v>0</v>
      </c>
      <c r="AK457" t="n">
        <v>0</v>
      </c>
      <c r="AL457" t="n">
        <v>1</v>
      </c>
      <c r="AM457" t="n">
        <v>1</v>
      </c>
      <c r="AN457" t="n">
        <v>0</v>
      </c>
      <c r="AO457" t="n">
        <v>0</v>
      </c>
      <c r="AP457" t="inlineStr">
        <is>
          <t>No</t>
        </is>
      </c>
      <c r="AQ457" t="inlineStr">
        <is>
          <t>Yes</t>
        </is>
      </c>
      <c r="AR457">
        <f>HYPERLINK("http://catalog.hathitrust.org/Record/001572838","HathiTrust Record")</f>
        <v/>
      </c>
      <c r="AS457">
        <f>HYPERLINK("https://creighton-primo.hosted.exlibrisgroup.com/primo-explore/search?tab=default_tab&amp;search_scope=EVERYTHING&amp;vid=01CRU&amp;lang=en_US&amp;offset=0&amp;query=any,contains,991000911569702656","Catalog Record")</f>
        <v/>
      </c>
      <c r="AT457">
        <f>HYPERLINK("http://www.worldcat.org/oclc/1119394","WorldCat Record")</f>
        <v/>
      </c>
      <c r="AU457" t="inlineStr">
        <is>
          <t>472771:eng</t>
        </is>
      </c>
      <c r="AV457" t="inlineStr">
        <is>
          <t>1119394</t>
        </is>
      </c>
      <c r="AW457" t="inlineStr">
        <is>
          <t>991000911569702656</t>
        </is>
      </c>
      <c r="AX457" t="inlineStr">
        <is>
          <t>991000911569702656</t>
        </is>
      </c>
      <c r="AY457" t="inlineStr">
        <is>
          <t>2256072410002656</t>
        </is>
      </c>
      <c r="AZ457" t="inlineStr">
        <is>
          <t>BOOK</t>
        </is>
      </c>
      <c r="BC457" t="inlineStr">
        <is>
          <t>30001000178212</t>
        </is>
      </c>
      <c r="BD457" t="inlineStr">
        <is>
          <t>893736038</t>
        </is>
      </c>
    </row>
    <row r="458">
      <c r="A458" t="inlineStr">
        <is>
          <t>No</t>
        </is>
      </c>
      <c r="B458" t="inlineStr">
        <is>
          <t>QU 160 U67v 1953</t>
        </is>
      </c>
      <c r="C458" t="inlineStr">
        <is>
          <t>0                      QU 0160000U  67v         1953</t>
        </is>
      </c>
      <c r="D458" t="inlineStr">
        <is>
          <t>Vitamin manual.</t>
        </is>
      </c>
      <c r="F458" t="inlineStr">
        <is>
          <t>No</t>
        </is>
      </c>
      <c r="G458" t="inlineStr">
        <is>
          <t>1</t>
        </is>
      </c>
      <c r="H458" t="inlineStr">
        <is>
          <t>No</t>
        </is>
      </c>
      <c r="I458" t="inlineStr">
        <is>
          <t>No</t>
        </is>
      </c>
      <c r="J458" t="inlineStr">
        <is>
          <t>0</t>
        </is>
      </c>
      <c r="K458" t="inlineStr">
        <is>
          <t>Upjohn Company.</t>
        </is>
      </c>
      <c r="L458" t="inlineStr">
        <is>
          <t>Kalamazoo, Mich. : Upjohn Company, c1953.</t>
        </is>
      </c>
      <c r="M458" t="inlineStr">
        <is>
          <t>1953</t>
        </is>
      </c>
      <c r="O458" t="inlineStr">
        <is>
          <t>eng</t>
        </is>
      </c>
      <c r="P458" t="inlineStr">
        <is>
          <t>miu</t>
        </is>
      </c>
      <c r="R458" t="inlineStr">
        <is>
          <t xml:space="preserve">QU </t>
        </is>
      </c>
      <c r="S458" t="n">
        <v>4</v>
      </c>
      <c r="T458" t="n">
        <v>4</v>
      </c>
      <c r="U458" t="inlineStr">
        <is>
          <t>1997-04-22</t>
        </is>
      </c>
      <c r="V458" t="inlineStr">
        <is>
          <t>1997-04-22</t>
        </is>
      </c>
      <c r="W458" t="inlineStr">
        <is>
          <t>1988-01-06</t>
        </is>
      </c>
      <c r="X458" t="inlineStr">
        <is>
          <t>1988-01-06</t>
        </is>
      </c>
      <c r="Y458" t="n">
        <v>28</v>
      </c>
      <c r="Z458" t="n">
        <v>26</v>
      </c>
      <c r="AA458" t="n">
        <v>84</v>
      </c>
      <c r="AB458" t="n">
        <v>1</v>
      </c>
      <c r="AC458" t="n">
        <v>2</v>
      </c>
      <c r="AD458" t="n">
        <v>0</v>
      </c>
      <c r="AE458" t="n">
        <v>2</v>
      </c>
      <c r="AF458" t="n">
        <v>0</v>
      </c>
      <c r="AG458" t="n">
        <v>1</v>
      </c>
      <c r="AH458" t="n">
        <v>0</v>
      </c>
      <c r="AI458" t="n">
        <v>0</v>
      </c>
      <c r="AJ458" t="n">
        <v>0</v>
      </c>
      <c r="AK458" t="n">
        <v>1</v>
      </c>
      <c r="AL458" t="n">
        <v>0</v>
      </c>
      <c r="AM458" t="n">
        <v>1</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HYPERLINK("https://creighton-primo.hosted.exlibrisgroup.com/primo-explore/search?tab=default_tab&amp;search_scope=EVERYTHING&amp;vid=01CRU&amp;lang=en_US&amp;offset=0&amp;query=any,contains,991000911799702656","Catalog Record")</f>
        <v/>
      </c>
      <c r="AT458">
        <f>HYPERLINK("http://www.worldcat.org/oclc/8258602","WorldCat Record")</f>
        <v/>
      </c>
      <c r="AU458" t="inlineStr">
        <is>
          <t>1232614:eng</t>
        </is>
      </c>
      <c r="AV458" t="inlineStr">
        <is>
          <t>8258602</t>
        </is>
      </c>
      <c r="AW458" t="inlineStr">
        <is>
          <t>991000911799702656</t>
        </is>
      </c>
      <c r="AX458" t="inlineStr">
        <is>
          <t>991000911799702656</t>
        </is>
      </c>
      <c r="AY458" t="inlineStr">
        <is>
          <t>2260851160002656</t>
        </is>
      </c>
      <c r="AZ458" t="inlineStr">
        <is>
          <t>BOOK</t>
        </is>
      </c>
      <c r="BC458" t="inlineStr">
        <is>
          <t>30001000178428</t>
        </is>
      </c>
      <c r="BD458" t="inlineStr">
        <is>
          <t>893455275</t>
        </is>
      </c>
    </row>
    <row r="459">
      <c r="A459" t="inlineStr">
        <is>
          <t>No</t>
        </is>
      </c>
      <c r="B459" t="inlineStr">
        <is>
          <t>QU 160 V837 1994</t>
        </is>
      </c>
      <c r="C459" t="inlineStr">
        <is>
          <t>0                      QU 0160000V  837         1994</t>
        </is>
      </c>
      <c r="D459" t="inlineStr">
        <is>
          <t>Vitamin receptors : vitamins as ligands in cell communication / edited by Krishnamurti Dakshinamurti.</t>
        </is>
      </c>
      <c r="F459" t="inlineStr">
        <is>
          <t>No</t>
        </is>
      </c>
      <c r="G459" t="inlineStr">
        <is>
          <t>1</t>
        </is>
      </c>
      <c r="H459" t="inlineStr">
        <is>
          <t>No</t>
        </is>
      </c>
      <c r="I459" t="inlineStr">
        <is>
          <t>No</t>
        </is>
      </c>
      <c r="J459" t="inlineStr">
        <is>
          <t>0</t>
        </is>
      </c>
      <c r="L459" t="inlineStr">
        <is>
          <t>Cambridge [England] ; New York, NY : Cambridge University Press, c1994.</t>
        </is>
      </c>
      <c r="M459" t="inlineStr">
        <is>
          <t>1994</t>
        </is>
      </c>
      <c r="O459" t="inlineStr">
        <is>
          <t>eng</t>
        </is>
      </c>
      <c r="P459" t="inlineStr">
        <is>
          <t>enk</t>
        </is>
      </c>
      <c r="R459" t="inlineStr">
        <is>
          <t xml:space="preserve">QU </t>
        </is>
      </c>
      <c r="S459" t="n">
        <v>10</v>
      </c>
      <c r="T459" t="n">
        <v>10</v>
      </c>
      <c r="U459" t="inlineStr">
        <is>
          <t>2001-11-19</t>
        </is>
      </c>
      <c r="V459" t="inlineStr">
        <is>
          <t>2001-11-19</t>
        </is>
      </c>
      <c r="W459" t="inlineStr">
        <is>
          <t>1995-02-20</t>
        </is>
      </c>
      <c r="X459" t="inlineStr">
        <is>
          <t>1995-02-20</t>
        </is>
      </c>
      <c r="Y459" t="n">
        <v>170</v>
      </c>
      <c r="Z459" t="n">
        <v>124</v>
      </c>
      <c r="AA459" t="n">
        <v>144</v>
      </c>
      <c r="AB459" t="n">
        <v>1</v>
      </c>
      <c r="AC459" t="n">
        <v>1</v>
      </c>
      <c r="AD459" t="n">
        <v>2</v>
      </c>
      <c r="AE459" t="n">
        <v>2</v>
      </c>
      <c r="AF459" t="n">
        <v>0</v>
      </c>
      <c r="AG459" t="n">
        <v>0</v>
      </c>
      <c r="AH459" t="n">
        <v>2</v>
      </c>
      <c r="AI459" t="n">
        <v>2</v>
      </c>
      <c r="AJ459" t="n">
        <v>1</v>
      </c>
      <c r="AK459" t="n">
        <v>1</v>
      </c>
      <c r="AL459" t="n">
        <v>0</v>
      </c>
      <c r="AM459" t="n">
        <v>0</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HYPERLINK("https://creighton-primo.hosted.exlibrisgroup.com/primo-explore/search?tab=default_tab&amp;search_scope=EVERYTHING&amp;vid=01CRU&amp;lang=en_US&amp;offset=0&amp;query=any,contains,991001395449702656","Catalog Record")</f>
        <v/>
      </c>
      <c r="AT459">
        <f>HYPERLINK("http://www.worldcat.org/oclc/28149663","WorldCat Record")</f>
        <v/>
      </c>
      <c r="AU459" t="inlineStr">
        <is>
          <t>30846311:eng</t>
        </is>
      </c>
      <c r="AV459" t="inlineStr">
        <is>
          <t>28149663</t>
        </is>
      </c>
      <c r="AW459" t="inlineStr">
        <is>
          <t>991001395449702656</t>
        </is>
      </c>
      <c r="AX459" t="inlineStr">
        <is>
          <t>991001395449702656</t>
        </is>
      </c>
      <c r="AY459" t="inlineStr">
        <is>
          <t>2271456050002656</t>
        </is>
      </c>
      <c r="AZ459" t="inlineStr">
        <is>
          <t>BOOK</t>
        </is>
      </c>
      <c r="BB459" t="inlineStr">
        <is>
          <t>9780521392808</t>
        </is>
      </c>
      <c r="BC459" t="inlineStr">
        <is>
          <t>30001003145879</t>
        </is>
      </c>
      <c r="BD459" t="inlineStr">
        <is>
          <t>893652003</t>
        </is>
      </c>
    </row>
    <row r="460">
      <c r="A460" t="inlineStr">
        <is>
          <t>No</t>
        </is>
      </c>
      <c r="B460" t="inlineStr">
        <is>
          <t>QU 160 V8383 1981</t>
        </is>
      </c>
      <c r="C460" t="inlineStr">
        <is>
          <t>0                      QU 0160000V  8383        1981</t>
        </is>
      </c>
      <c r="D460" t="inlineStr">
        <is>
          <t>Vitamins in human biology and medicine / editor, Michael H. Briggs.</t>
        </is>
      </c>
      <c r="F460" t="inlineStr">
        <is>
          <t>No</t>
        </is>
      </c>
      <c r="G460" t="inlineStr">
        <is>
          <t>1</t>
        </is>
      </c>
      <c r="H460" t="inlineStr">
        <is>
          <t>No</t>
        </is>
      </c>
      <c r="I460" t="inlineStr">
        <is>
          <t>No</t>
        </is>
      </c>
      <c r="J460" t="inlineStr">
        <is>
          <t>0</t>
        </is>
      </c>
      <c r="L460" t="inlineStr">
        <is>
          <t>Boca Raton, Fla. : CRC Press, c1981.</t>
        </is>
      </c>
      <c r="M460" t="inlineStr">
        <is>
          <t>1981</t>
        </is>
      </c>
      <c r="O460" t="inlineStr">
        <is>
          <t>eng</t>
        </is>
      </c>
      <c r="P460" t="inlineStr">
        <is>
          <t>flu</t>
        </is>
      </c>
      <c r="R460" t="inlineStr">
        <is>
          <t xml:space="preserve">QU </t>
        </is>
      </c>
      <c r="S460" t="n">
        <v>4</v>
      </c>
      <c r="T460" t="n">
        <v>4</v>
      </c>
      <c r="U460" t="inlineStr">
        <is>
          <t>1995-06-12</t>
        </is>
      </c>
      <c r="V460" t="inlineStr">
        <is>
          <t>1995-06-12</t>
        </is>
      </c>
      <c r="W460" t="inlineStr">
        <is>
          <t>1988-02-03</t>
        </is>
      </c>
      <c r="X460" t="inlineStr">
        <is>
          <t>1988-02-03</t>
        </is>
      </c>
      <c r="Y460" t="n">
        <v>243</v>
      </c>
      <c r="Z460" t="n">
        <v>176</v>
      </c>
      <c r="AA460" t="n">
        <v>194</v>
      </c>
      <c r="AB460" t="n">
        <v>2</v>
      </c>
      <c r="AC460" t="n">
        <v>2</v>
      </c>
      <c r="AD460" t="n">
        <v>4</v>
      </c>
      <c r="AE460" t="n">
        <v>4</v>
      </c>
      <c r="AF460" t="n">
        <v>2</v>
      </c>
      <c r="AG460" t="n">
        <v>2</v>
      </c>
      <c r="AH460" t="n">
        <v>1</v>
      </c>
      <c r="AI460" t="n">
        <v>1</v>
      </c>
      <c r="AJ460" t="n">
        <v>1</v>
      </c>
      <c r="AK460" t="n">
        <v>1</v>
      </c>
      <c r="AL460" t="n">
        <v>1</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HYPERLINK("https://creighton-primo.hosted.exlibrisgroup.com/primo-explore/search?tab=default_tab&amp;search_scope=EVERYTHING&amp;vid=01CRU&amp;lang=en_US&amp;offset=0&amp;query=any,contains,991000911719702656","Catalog Record")</f>
        <v/>
      </c>
      <c r="AT460">
        <f>HYPERLINK("http://www.worldcat.org/oclc/6625917","WorldCat Record")</f>
        <v/>
      </c>
      <c r="AU460" t="inlineStr">
        <is>
          <t>508742:eng</t>
        </is>
      </c>
      <c r="AV460" t="inlineStr">
        <is>
          <t>6625917</t>
        </is>
      </c>
      <c r="AW460" t="inlineStr">
        <is>
          <t>991000911719702656</t>
        </is>
      </c>
      <c r="AX460" t="inlineStr">
        <is>
          <t>991000911719702656</t>
        </is>
      </c>
      <c r="AY460" t="inlineStr">
        <is>
          <t>2256963420002656</t>
        </is>
      </c>
      <c r="AZ460" t="inlineStr">
        <is>
          <t>BOOK</t>
        </is>
      </c>
      <c r="BB460" t="inlineStr">
        <is>
          <t>9780849356735</t>
        </is>
      </c>
      <c r="BC460" t="inlineStr">
        <is>
          <t>30001000178287</t>
        </is>
      </c>
      <c r="BD460" t="inlineStr">
        <is>
          <t>893120721</t>
        </is>
      </c>
    </row>
    <row r="461">
      <c r="A461" t="inlineStr">
        <is>
          <t>No</t>
        </is>
      </c>
      <c r="B461" t="inlineStr">
        <is>
          <t>QU 167 G197b 1989</t>
        </is>
      </c>
      <c r="C461" t="inlineStr">
        <is>
          <t>0                      QU 0167000G  197b        1989</t>
        </is>
      </c>
      <c r="D461" t="inlineStr">
        <is>
          <t>Biochemistry of vitamin A / author, Jagannath Ganguly.</t>
        </is>
      </c>
      <c r="F461" t="inlineStr">
        <is>
          <t>No</t>
        </is>
      </c>
      <c r="G461" t="inlineStr">
        <is>
          <t>1</t>
        </is>
      </c>
      <c r="H461" t="inlineStr">
        <is>
          <t>No</t>
        </is>
      </c>
      <c r="I461" t="inlineStr">
        <is>
          <t>No</t>
        </is>
      </c>
      <c r="J461" t="inlineStr">
        <is>
          <t>0</t>
        </is>
      </c>
      <c r="K461" t="inlineStr">
        <is>
          <t>Ganguly, Jagannath, 1921-</t>
        </is>
      </c>
      <c r="L461" t="inlineStr">
        <is>
          <t>Boca Raton, Fla. : CRC Press, c1989.</t>
        </is>
      </c>
      <c r="M461" t="inlineStr">
        <is>
          <t>1989</t>
        </is>
      </c>
      <c r="O461" t="inlineStr">
        <is>
          <t>eng</t>
        </is>
      </c>
      <c r="P461" t="inlineStr">
        <is>
          <t>flu</t>
        </is>
      </c>
      <c r="R461" t="inlineStr">
        <is>
          <t xml:space="preserve">QU </t>
        </is>
      </c>
      <c r="S461" t="n">
        <v>8</v>
      </c>
      <c r="T461" t="n">
        <v>8</v>
      </c>
      <c r="U461" t="inlineStr">
        <is>
          <t>2010-12-16</t>
        </is>
      </c>
      <c r="V461" t="inlineStr">
        <is>
          <t>2010-12-16</t>
        </is>
      </c>
      <c r="W461" t="inlineStr">
        <is>
          <t>1989-08-29</t>
        </is>
      </c>
      <c r="X461" t="inlineStr">
        <is>
          <t>1989-08-29</t>
        </is>
      </c>
      <c r="Y461" t="n">
        <v>138</v>
      </c>
      <c r="Z461" t="n">
        <v>99</v>
      </c>
      <c r="AA461" t="n">
        <v>99</v>
      </c>
      <c r="AB461" t="n">
        <v>1</v>
      </c>
      <c r="AC461" t="n">
        <v>1</v>
      </c>
      <c r="AD461" t="n">
        <v>2</v>
      </c>
      <c r="AE461" t="n">
        <v>2</v>
      </c>
      <c r="AF461" t="n">
        <v>1</v>
      </c>
      <c r="AG461" t="n">
        <v>1</v>
      </c>
      <c r="AH461" t="n">
        <v>1</v>
      </c>
      <c r="AI461" t="n">
        <v>1</v>
      </c>
      <c r="AJ461" t="n">
        <v>1</v>
      </c>
      <c r="AK461" t="n">
        <v>1</v>
      </c>
      <c r="AL461" t="n">
        <v>0</v>
      </c>
      <c r="AM461" t="n">
        <v>0</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HYPERLINK("https://creighton-primo.hosted.exlibrisgroup.com/primo-explore/search?tab=default_tab&amp;search_scope=EVERYTHING&amp;vid=01CRU&amp;lang=en_US&amp;offset=0&amp;query=any,contains,991001313939702656","Catalog Record")</f>
        <v/>
      </c>
      <c r="AT461">
        <f>HYPERLINK("http://www.worldcat.org/oclc/18982662","WorldCat Record")</f>
        <v/>
      </c>
      <c r="AU461" t="inlineStr">
        <is>
          <t>18991733:eng</t>
        </is>
      </c>
      <c r="AV461" t="inlineStr">
        <is>
          <t>18982662</t>
        </is>
      </c>
      <c r="AW461" t="inlineStr">
        <is>
          <t>991001313939702656</t>
        </is>
      </c>
      <c r="AX461" t="inlineStr">
        <is>
          <t>991001313939702656</t>
        </is>
      </c>
      <c r="AY461" t="inlineStr">
        <is>
          <t>2269108170002656</t>
        </is>
      </c>
      <c r="AZ461" t="inlineStr">
        <is>
          <t>BOOK</t>
        </is>
      </c>
      <c r="BB461" t="inlineStr">
        <is>
          <t>9780849368905</t>
        </is>
      </c>
      <c r="BC461" t="inlineStr">
        <is>
          <t>30001001752064</t>
        </is>
      </c>
      <c r="BD461" t="inlineStr">
        <is>
          <t>893363955</t>
        </is>
      </c>
    </row>
    <row r="462">
      <c r="A462" t="inlineStr">
        <is>
          <t>No</t>
        </is>
      </c>
      <c r="B462" t="inlineStr">
        <is>
          <t>QU 167 R438 1994</t>
        </is>
      </c>
      <c r="C462" t="inlineStr">
        <is>
          <t>0                      QU 0167000R  438         1994</t>
        </is>
      </c>
      <c r="D462" t="inlineStr">
        <is>
          <t>The Retinoids : biology, chemistry, and medicine / editors, Michael B. Sporn, Anita B. Roberts, DeWitt S. Goodman.</t>
        </is>
      </c>
      <c r="F462" t="inlineStr">
        <is>
          <t>No</t>
        </is>
      </c>
      <c r="G462" t="inlineStr">
        <is>
          <t>1</t>
        </is>
      </c>
      <c r="H462" t="inlineStr">
        <is>
          <t>No</t>
        </is>
      </c>
      <c r="I462" t="inlineStr">
        <is>
          <t>No</t>
        </is>
      </c>
      <c r="J462" t="inlineStr">
        <is>
          <t>0</t>
        </is>
      </c>
      <c r="L462" t="inlineStr">
        <is>
          <t>New York : Raven Press, c1994.</t>
        </is>
      </c>
      <c r="M462" t="inlineStr">
        <is>
          <t>1994</t>
        </is>
      </c>
      <c r="N462" t="inlineStr">
        <is>
          <t>2nd ed.</t>
        </is>
      </c>
      <c r="O462" t="inlineStr">
        <is>
          <t>eng</t>
        </is>
      </c>
      <c r="P462" t="inlineStr">
        <is>
          <t>nyu</t>
        </is>
      </c>
      <c r="R462" t="inlineStr">
        <is>
          <t xml:space="preserve">QU </t>
        </is>
      </c>
      <c r="S462" t="n">
        <v>35</v>
      </c>
      <c r="T462" t="n">
        <v>35</v>
      </c>
      <c r="U462" t="inlineStr">
        <is>
          <t>2004-11-19</t>
        </is>
      </c>
      <c r="V462" t="inlineStr">
        <is>
          <t>2004-11-19</t>
        </is>
      </c>
      <c r="W462" t="inlineStr">
        <is>
          <t>1994-02-10</t>
        </is>
      </c>
      <c r="X462" t="inlineStr">
        <is>
          <t>1994-02-10</t>
        </is>
      </c>
      <c r="Y462" t="n">
        <v>212</v>
      </c>
      <c r="Z462" t="n">
        <v>150</v>
      </c>
      <c r="AA462" t="n">
        <v>152</v>
      </c>
      <c r="AB462" t="n">
        <v>2</v>
      </c>
      <c r="AC462" t="n">
        <v>2</v>
      </c>
      <c r="AD462" t="n">
        <v>6</v>
      </c>
      <c r="AE462" t="n">
        <v>6</v>
      </c>
      <c r="AF462" t="n">
        <v>1</v>
      </c>
      <c r="AG462" t="n">
        <v>1</v>
      </c>
      <c r="AH462" t="n">
        <v>2</v>
      </c>
      <c r="AI462" t="n">
        <v>2</v>
      </c>
      <c r="AJ462" t="n">
        <v>3</v>
      </c>
      <c r="AK462" t="n">
        <v>3</v>
      </c>
      <c r="AL462" t="n">
        <v>1</v>
      </c>
      <c r="AM462" t="n">
        <v>1</v>
      </c>
      <c r="AN462" t="n">
        <v>0</v>
      </c>
      <c r="AO462" t="n">
        <v>0</v>
      </c>
      <c r="AP462" t="inlineStr">
        <is>
          <t>No</t>
        </is>
      </c>
      <c r="AQ462" t="inlineStr">
        <is>
          <t>Yes</t>
        </is>
      </c>
      <c r="AR462">
        <f>HYPERLINK("http://catalog.hathitrust.org/Record/002736714","HathiTrust Record")</f>
        <v/>
      </c>
      <c r="AS462">
        <f>HYPERLINK("https://creighton-primo.hosted.exlibrisgroup.com/primo-explore/search?tab=default_tab&amp;search_scope=EVERYTHING&amp;vid=01CRU&amp;lang=en_US&amp;offset=0&amp;query=any,contains,991000651839702656","Catalog Record")</f>
        <v/>
      </c>
      <c r="AT462">
        <f>HYPERLINK("http://www.worldcat.org/oclc/27814431","WorldCat Record")</f>
        <v/>
      </c>
      <c r="AU462" t="inlineStr">
        <is>
          <t>3857387902:eng</t>
        </is>
      </c>
      <c r="AV462" t="inlineStr">
        <is>
          <t>27814431</t>
        </is>
      </c>
      <c r="AW462" t="inlineStr">
        <is>
          <t>991000651839702656</t>
        </is>
      </c>
      <c r="AX462" t="inlineStr">
        <is>
          <t>991000651839702656</t>
        </is>
      </c>
      <c r="AY462" t="inlineStr">
        <is>
          <t>2259599000002656</t>
        </is>
      </c>
      <c r="AZ462" t="inlineStr">
        <is>
          <t>BOOK</t>
        </is>
      </c>
      <c r="BB462" t="inlineStr">
        <is>
          <t>9780781700825</t>
        </is>
      </c>
      <c r="BC462" t="inlineStr">
        <is>
          <t>30001002691170</t>
        </is>
      </c>
      <c r="BD462" t="inlineStr">
        <is>
          <t>893147852</t>
        </is>
      </c>
    </row>
    <row r="463">
      <c r="A463" t="inlineStr">
        <is>
          <t>No</t>
        </is>
      </c>
      <c r="B463" t="inlineStr">
        <is>
          <t>QU 173 N842v 1979</t>
        </is>
      </c>
      <c r="C463" t="inlineStr">
        <is>
          <t>0                      QU 0173000N  842v        1979</t>
        </is>
      </c>
      <c r="D463" t="inlineStr">
        <is>
          <t>Vitamin D : the calcium homeostatic steroid hormone / by Anthony W. Norman.</t>
        </is>
      </c>
      <c r="F463" t="inlineStr">
        <is>
          <t>No</t>
        </is>
      </c>
      <c r="G463" t="inlineStr">
        <is>
          <t>1</t>
        </is>
      </c>
      <c r="H463" t="inlineStr">
        <is>
          <t>No</t>
        </is>
      </c>
      <c r="I463" t="inlineStr">
        <is>
          <t>No</t>
        </is>
      </c>
      <c r="J463" t="inlineStr">
        <is>
          <t>0</t>
        </is>
      </c>
      <c r="K463" t="inlineStr">
        <is>
          <t>Norman, A. W. (Anthony W.), 1938-</t>
        </is>
      </c>
      <c r="L463" t="inlineStr">
        <is>
          <t>New York : Academic Press, 1979.</t>
        </is>
      </c>
      <c r="M463" t="inlineStr">
        <is>
          <t>1979</t>
        </is>
      </c>
      <c r="O463" t="inlineStr">
        <is>
          <t>eng</t>
        </is>
      </c>
      <c r="P463" t="inlineStr">
        <is>
          <t>nyu</t>
        </is>
      </c>
      <c r="R463" t="inlineStr">
        <is>
          <t xml:space="preserve">QU </t>
        </is>
      </c>
      <c r="S463" t="n">
        <v>1</v>
      </c>
      <c r="T463" t="n">
        <v>1</v>
      </c>
      <c r="U463" t="inlineStr">
        <is>
          <t>1997-04-28</t>
        </is>
      </c>
      <c r="V463" t="inlineStr">
        <is>
          <t>1997-04-28</t>
        </is>
      </c>
      <c r="W463" t="inlineStr">
        <is>
          <t>1988-01-26</t>
        </is>
      </c>
      <c r="X463" t="inlineStr">
        <is>
          <t>1988-01-26</t>
        </is>
      </c>
      <c r="Y463" t="n">
        <v>288</v>
      </c>
      <c r="Z463" t="n">
        <v>205</v>
      </c>
      <c r="AA463" t="n">
        <v>243</v>
      </c>
      <c r="AB463" t="n">
        <v>3</v>
      </c>
      <c r="AC463" t="n">
        <v>3</v>
      </c>
      <c r="AD463" t="n">
        <v>4</v>
      </c>
      <c r="AE463" t="n">
        <v>6</v>
      </c>
      <c r="AF463" t="n">
        <v>0</v>
      </c>
      <c r="AG463" t="n">
        <v>1</v>
      </c>
      <c r="AH463" t="n">
        <v>1</v>
      </c>
      <c r="AI463" t="n">
        <v>2</v>
      </c>
      <c r="AJ463" t="n">
        <v>2</v>
      </c>
      <c r="AK463" t="n">
        <v>2</v>
      </c>
      <c r="AL463" t="n">
        <v>2</v>
      </c>
      <c r="AM463" t="n">
        <v>2</v>
      </c>
      <c r="AN463" t="n">
        <v>0</v>
      </c>
      <c r="AO463" t="n">
        <v>0</v>
      </c>
      <c r="AP463" t="inlineStr">
        <is>
          <t>No</t>
        </is>
      </c>
      <c r="AQ463" t="inlineStr">
        <is>
          <t>Yes</t>
        </is>
      </c>
      <c r="AR463">
        <f>HYPERLINK("http://catalog.hathitrust.org/Record/000019976","HathiTrust Record")</f>
        <v/>
      </c>
      <c r="AS463">
        <f>HYPERLINK("https://creighton-primo.hosted.exlibrisgroup.com/primo-explore/search?tab=default_tab&amp;search_scope=EVERYTHING&amp;vid=01CRU&amp;lang=en_US&amp;offset=0&amp;query=any,contains,991000912029702656","Catalog Record")</f>
        <v/>
      </c>
      <c r="AT463">
        <f>HYPERLINK("http://www.worldcat.org/oclc/5171867","WorldCat Record")</f>
        <v/>
      </c>
      <c r="AU463" t="inlineStr">
        <is>
          <t>3768685094:eng</t>
        </is>
      </c>
      <c r="AV463" t="inlineStr">
        <is>
          <t>5171867</t>
        </is>
      </c>
      <c r="AW463" t="inlineStr">
        <is>
          <t>991000912029702656</t>
        </is>
      </c>
      <c r="AX463" t="inlineStr">
        <is>
          <t>991000912029702656</t>
        </is>
      </c>
      <c r="AY463" t="inlineStr">
        <is>
          <t>2259035510002656</t>
        </is>
      </c>
      <c r="AZ463" t="inlineStr">
        <is>
          <t>BOOK</t>
        </is>
      </c>
      <c r="BB463" t="inlineStr">
        <is>
          <t>9780125210508</t>
        </is>
      </c>
      <c r="BC463" t="inlineStr">
        <is>
          <t>30001000178725</t>
        </is>
      </c>
      <c r="BD463" t="inlineStr">
        <is>
          <t>893815910</t>
        </is>
      </c>
    </row>
    <row r="464">
      <c r="A464" t="inlineStr">
        <is>
          <t>No</t>
        </is>
      </c>
      <c r="B464" t="inlineStr">
        <is>
          <t>QU 179 V837 1993</t>
        </is>
      </c>
      <c r="C464" t="inlineStr">
        <is>
          <t>0                      QU 0179000V  837         1993</t>
        </is>
      </c>
      <c r="D464" t="inlineStr">
        <is>
          <t>Vitamin E : its usefulness in health and in curing diseases / edited by Makoto Mino... [et al.].</t>
        </is>
      </c>
      <c r="F464" t="inlineStr">
        <is>
          <t>No</t>
        </is>
      </c>
      <c r="G464" t="inlineStr">
        <is>
          <t>1</t>
        </is>
      </c>
      <c r="H464" t="inlineStr">
        <is>
          <t>No</t>
        </is>
      </c>
      <c r="I464" t="inlineStr">
        <is>
          <t>No</t>
        </is>
      </c>
      <c r="J464" t="inlineStr">
        <is>
          <t>0</t>
        </is>
      </c>
      <c r="L464" t="inlineStr">
        <is>
          <t>Tokyo : Japan Scientific Societies Press ; Basel ; New York : Karger, c1993.</t>
        </is>
      </c>
      <c r="M464" t="inlineStr">
        <is>
          <t>1993</t>
        </is>
      </c>
      <c r="O464" t="inlineStr">
        <is>
          <t>eng</t>
        </is>
      </c>
      <c r="P464" t="inlineStr">
        <is>
          <t xml:space="preserve">ja </t>
        </is>
      </c>
      <c r="R464" t="inlineStr">
        <is>
          <t xml:space="preserve">QU </t>
        </is>
      </c>
      <c r="S464" t="n">
        <v>21</v>
      </c>
      <c r="T464" t="n">
        <v>21</v>
      </c>
      <c r="U464" t="inlineStr">
        <is>
          <t>2007-03-14</t>
        </is>
      </c>
      <c r="V464" t="inlineStr">
        <is>
          <t>2007-03-14</t>
        </is>
      </c>
      <c r="W464" t="inlineStr">
        <is>
          <t>1993-10-22</t>
        </is>
      </c>
      <c r="X464" t="inlineStr">
        <is>
          <t>1993-10-22</t>
        </is>
      </c>
      <c r="Y464" t="n">
        <v>83</v>
      </c>
      <c r="Z464" t="n">
        <v>56</v>
      </c>
      <c r="AA464" t="n">
        <v>56</v>
      </c>
      <c r="AB464" t="n">
        <v>1</v>
      </c>
      <c r="AC464" t="n">
        <v>1</v>
      </c>
      <c r="AD464" t="n">
        <v>1</v>
      </c>
      <c r="AE464" t="n">
        <v>1</v>
      </c>
      <c r="AF464" t="n">
        <v>0</v>
      </c>
      <c r="AG464" t="n">
        <v>0</v>
      </c>
      <c r="AH464" t="n">
        <v>1</v>
      </c>
      <c r="AI464" t="n">
        <v>1</v>
      </c>
      <c r="AJ464" t="n">
        <v>0</v>
      </c>
      <c r="AK464" t="n">
        <v>0</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HYPERLINK("https://creighton-primo.hosted.exlibrisgroup.com/primo-explore/search?tab=default_tab&amp;search_scope=EVERYTHING&amp;vid=01CRU&amp;lang=en_US&amp;offset=0&amp;query=any,contains,991001488329702656","Catalog Record")</f>
        <v/>
      </c>
      <c r="AT464">
        <f>HYPERLINK("http://www.worldcat.org/oclc/28529916","WorldCat Record")</f>
        <v/>
      </c>
      <c r="AU464" t="inlineStr">
        <is>
          <t>3901355783:eng</t>
        </is>
      </c>
      <c r="AV464" t="inlineStr">
        <is>
          <t>28529916</t>
        </is>
      </c>
      <c r="AW464" t="inlineStr">
        <is>
          <t>991001488329702656</t>
        </is>
      </c>
      <c r="AX464" t="inlineStr">
        <is>
          <t>991001488329702656</t>
        </is>
      </c>
      <c r="AY464" t="inlineStr">
        <is>
          <t>2268434280002656</t>
        </is>
      </c>
      <c r="AZ464" t="inlineStr">
        <is>
          <t>BOOK</t>
        </is>
      </c>
      <c r="BB464" t="inlineStr">
        <is>
          <t>9783805557535</t>
        </is>
      </c>
      <c r="BC464" t="inlineStr">
        <is>
          <t>30001002579888</t>
        </is>
      </c>
      <c r="BD464" t="inlineStr">
        <is>
          <t>893451255</t>
        </is>
      </c>
    </row>
    <row r="465">
      <c r="A465" t="inlineStr">
        <is>
          <t>No</t>
        </is>
      </c>
      <c r="B465" t="inlineStr">
        <is>
          <t>QU 181 V8375 1990</t>
        </is>
      </c>
      <c r="C465" t="inlineStr">
        <is>
          <t>0                      QU 0181000V  8375        1990</t>
        </is>
      </c>
      <c r="D465" t="inlineStr">
        <is>
          <t>Vitamin K-dependent proteins and their metabolic roles / editors, Hidehiko Saito, J.W. Suttie.</t>
        </is>
      </c>
      <c r="F465" t="inlineStr">
        <is>
          <t>No</t>
        </is>
      </c>
      <c r="G465" t="inlineStr">
        <is>
          <t>1</t>
        </is>
      </c>
      <c r="H465" t="inlineStr">
        <is>
          <t>No</t>
        </is>
      </c>
      <c r="I465" t="inlineStr">
        <is>
          <t>No</t>
        </is>
      </c>
      <c r="J465" t="inlineStr">
        <is>
          <t>0</t>
        </is>
      </c>
      <c r="L465" t="inlineStr">
        <is>
          <t>New York : Elsevier, c1990.</t>
        </is>
      </c>
      <c r="M465" t="inlineStr">
        <is>
          <t>1990</t>
        </is>
      </c>
      <c r="O465" t="inlineStr">
        <is>
          <t>eng</t>
        </is>
      </c>
      <c r="P465" t="inlineStr">
        <is>
          <t>xxu</t>
        </is>
      </c>
      <c r="R465" t="inlineStr">
        <is>
          <t xml:space="preserve">QU </t>
        </is>
      </c>
      <c r="S465" t="n">
        <v>6</v>
      </c>
      <c r="T465" t="n">
        <v>6</v>
      </c>
      <c r="U465" t="inlineStr">
        <is>
          <t>1995-06-12</t>
        </is>
      </c>
      <c r="V465" t="inlineStr">
        <is>
          <t>1995-06-12</t>
        </is>
      </c>
      <c r="W465" t="inlineStr">
        <is>
          <t>1991-08-07</t>
        </is>
      </c>
      <c r="X465" t="inlineStr">
        <is>
          <t>1991-08-07</t>
        </is>
      </c>
      <c r="Y465" t="n">
        <v>52</v>
      </c>
      <c r="Z465" t="n">
        <v>35</v>
      </c>
      <c r="AA465" t="n">
        <v>42</v>
      </c>
      <c r="AB465" t="n">
        <v>1</v>
      </c>
      <c r="AC465" t="n">
        <v>1</v>
      </c>
      <c r="AD465" t="n">
        <v>1</v>
      </c>
      <c r="AE465" t="n">
        <v>1</v>
      </c>
      <c r="AF465" t="n">
        <v>0</v>
      </c>
      <c r="AG465" t="n">
        <v>0</v>
      </c>
      <c r="AH465" t="n">
        <v>1</v>
      </c>
      <c r="AI465" t="n">
        <v>1</v>
      </c>
      <c r="AJ465" t="n">
        <v>0</v>
      </c>
      <c r="AK465" t="n">
        <v>0</v>
      </c>
      <c r="AL465" t="n">
        <v>0</v>
      </c>
      <c r="AM465" t="n">
        <v>0</v>
      </c>
      <c r="AN465" t="n">
        <v>0</v>
      </c>
      <c r="AO465" t="n">
        <v>0</v>
      </c>
      <c r="AP465" t="inlineStr">
        <is>
          <t>No</t>
        </is>
      </c>
      <c r="AQ465" t="inlineStr">
        <is>
          <t>Yes</t>
        </is>
      </c>
      <c r="AR465">
        <f>HYPERLINK("http://catalog.hathitrust.org/Record/006248105","HathiTrust Record")</f>
        <v/>
      </c>
      <c r="AS465">
        <f>HYPERLINK("https://creighton-primo.hosted.exlibrisgroup.com/primo-explore/search?tab=default_tab&amp;search_scope=EVERYTHING&amp;vid=01CRU&amp;lang=en_US&amp;offset=0&amp;query=any,contains,991000943159702656","Catalog Record")</f>
        <v/>
      </c>
      <c r="AT465">
        <f>HYPERLINK("http://www.worldcat.org/oclc/22596872","WorldCat Record")</f>
        <v/>
      </c>
      <c r="AU465" t="inlineStr">
        <is>
          <t>365304214:eng</t>
        </is>
      </c>
      <c r="AV465" t="inlineStr">
        <is>
          <t>22596872</t>
        </is>
      </c>
      <c r="AW465" t="inlineStr">
        <is>
          <t>991000943159702656</t>
        </is>
      </c>
      <c r="AX465" t="inlineStr">
        <is>
          <t>991000943159702656</t>
        </is>
      </c>
      <c r="AY465" t="inlineStr">
        <is>
          <t>2255051440002656</t>
        </is>
      </c>
      <c r="AZ465" t="inlineStr">
        <is>
          <t>BOOK</t>
        </is>
      </c>
      <c r="BB465" t="inlineStr">
        <is>
          <t>9780444015662</t>
        </is>
      </c>
      <c r="BC465" t="inlineStr">
        <is>
          <t>30001002193078</t>
        </is>
      </c>
      <c r="BD465" t="inlineStr">
        <is>
          <t>893134108</t>
        </is>
      </c>
    </row>
    <row r="466">
      <c r="A466" t="inlineStr">
        <is>
          <t>No</t>
        </is>
      </c>
      <c r="B466" t="inlineStr">
        <is>
          <t>QU 210 C626v 1989</t>
        </is>
      </c>
      <c r="C466" t="inlineStr">
        <is>
          <t>0                      QU 0210000C  626v        1989</t>
        </is>
      </c>
      <c r="D466" t="inlineStr">
        <is>
          <t>Vitamin C / author, C. Alan B. Clemetson.</t>
        </is>
      </c>
      <c r="E466" t="inlineStr">
        <is>
          <t>V. 2</t>
        </is>
      </c>
      <c r="F466" t="inlineStr">
        <is>
          <t>Yes</t>
        </is>
      </c>
      <c r="G466" t="inlineStr">
        <is>
          <t>1</t>
        </is>
      </c>
      <c r="H466" t="inlineStr">
        <is>
          <t>No</t>
        </is>
      </c>
      <c r="I466" t="inlineStr">
        <is>
          <t>No</t>
        </is>
      </c>
      <c r="J466" t="inlineStr">
        <is>
          <t>0</t>
        </is>
      </c>
      <c r="K466" t="inlineStr">
        <is>
          <t>Clemetson, C. Alan B.</t>
        </is>
      </c>
      <c r="L466" t="inlineStr">
        <is>
          <t>Boca Raton, Fla. : CRC Press, c1989.</t>
        </is>
      </c>
      <c r="M466" t="inlineStr">
        <is>
          <t>1989</t>
        </is>
      </c>
      <c r="O466" t="inlineStr">
        <is>
          <t>eng</t>
        </is>
      </c>
      <c r="P466" t="inlineStr">
        <is>
          <t>xxu</t>
        </is>
      </c>
      <c r="R466" t="inlineStr">
        <is>
          <t xml:space="preserve">QU </t>
        </is>
      </c>
      <c r="S466" t="n">
        <v>3</v>
      </c>
      <c r="T466" t="n">
        <v>9</v>
      </c>
      <c r="U466" t="inlineStr">
        <is>
          <t>1997-04-22</t>
        </is>
      </c>
      <c r="V466" t="inlineStr">
        <is>
          <t>1997-04-22</t>
        </is>
      </c>
      <c r="W466" t="inlineStr">
        <is>
          <t>1989-09-14</t>
        </is>
      </c>
      <c r="X466" t="inlineStr">
        <is>
          <t>1989-09-14</t>
        </is>
      </c>
      <c r="Y466" t="n">
        <v>117</v>
      </c>
      <c r="Z466" t="n">
        <v>83</v>
      </c>
      <c r="AA466" t="n">
        <v>83</v>
      </c>
      <c r="AB466" t="n">
        <v>2</v>
      </c>
      <c r="AC466" t="n">
        <v>2</v>
      </c>
      <c r="AD466" t="n">
        <v>1</v>
      </c>
      <c r="AE466" t="n">
        <v>1</v>
      </c>
      <c r="AF466" t="n">
        <v>0</v>
      </c>
      <c r="AG466" t="n">
        <v>0</v>
      </c>
      <c r="AH466" t="n">
        <v>0</v>
      </c>
      <c r="AI466" t="n">
        <v>0</v>
      </c>
      <c r="AJ466" t="n">
        <v>0</v>
      </c>
      <c r="AK466" t="n">
        <v>0</v>
      </c>
      <c r="AL466" t="n">
        <v>1</v>
      </c>
      <c r="AM466" t="n">
        <v>1</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HYPERLINK("https://creighton-primo.hosted.exlibrisgroup.com/primo-explore/search?tab=default_tab&amp;search_scope=EVERYTHING&amp;vid=01CRU&amp;lang=en_US&amp;offset=0&amp;query=any,contains,991001321989702656","Catalog Record")</f>
        <v/>
      </c>
      <c r="AT466">
        <f>HYPERLINK("http://www.worldcat.org/oclc/17918592","WorldCat Record")</f>
        <v/>
      </c>
      <c r="AU466" t="inlineStr">
        <is>
          <t>8907564501:eng</t>
        </is>
      </c>
      <c r="AV466" t="inlineStr">
        <is>
          <t>17918592</t>
        </is>
      </c>
      <c r="AW466" t="inlineStr">
        <is>
          <t>991001321989702656</t>
        </is>
      </c>
      <c r="AX466" t="inlineStr">
        <is>
          <t>991001321989702656</t>
        </is>
      </c>
      <c r="AY466" t="inlineStr">
        <is>
          <t>2255124380002656</t>
        </is>
      </c>
      <c r="AZ466" t="inlineStr">
        <is>
          <t>BOOK</t>
        </is>
      </c>
      <c r="BB466" t="inlineStr">
        <is>
          <t>9780849348419</t>
        </is>
      </c>
      <c r="BC466" t="inlineStr">
        <is>
          <t>30001001753831</t>
        </is>
      </c>
      <c r="BD466" t="inlineStr">
        <is>
          <t>893736463</t>
        </is>
      </c>
    </row>
    <row r="467">
      <c r="A467" t="inlineStr">
        <is>
          <t>No</t>
        </is>
      </c>
      <c r="B467" t="inlineStr">
        <is>
          <t>QU 210 C626v 1989</t>
        </is>
      </c>
      <c r="C467" t="inlineStr">
        <is>
          <t>0                      QU 0210000C  626v        1989</t>
        </is>
      </c>
      <c r="D467" t="inlineStr">
        <is>
          <t>Vitamin C / author, C. Alan B. Clemetson.</t>
        </is>
      </c>
      <c r="E467" t="inlineStr">
        <is>
          <t>V. 1</t>
        </is>
      </c>
      <c r="F467" t="inlineStr">
        <is>
          <t>Yes</t>
        </is>
      </c>
      <c r="G467" t="inlineStr">
        <is>
          <t>1</t>
        </is>
      </c>
      <c r="H467" t="inlineStr">
        <is>
          <t>No</t>
        </is>
      </c>
      <c r="I467" t="inlineStr">
        <is>
          <t>No</t>
        </is>
      </c>
      <c r="J467" t="inlineStr">
        <is>
          <t>0</t>
        </is>
      </c>
      <c r="K467" t="inlineStr">
        <is>
          <t>Clemetson, C. Alan B.</t>
        </is>
      </c>
      <c r="L467" t="inlineStr">
        <is>
          <t>Boca Raton, Fla. : CRC Press, c1989.</t>
        </is>
      </c>
      <c r="M467" t="inlineStr">
        <is>
          <t>1989</t>
        </is>
      </c>
      <c r="O467" t="inlineStr">
        <is>
          <t>eng</t>
        </is>
      </c>
      <c r="P467" t="inlineStr">
        <is>
          <t>xxu</t>
        </is>
      </c>
      <c r="R467" t="inlineStr">
        <is>
          <t xml:space="preserve">QU </t>
        </is>
      </c>
      <c r="S467" t="n">
        <v>3</v>
      </c>
      <c r="T467" t="n">
        <v>9</v>
      </c>
      <c r="U467" t="inlineStr">
        <is>
          <t>1997-04-22</t>
        </is>
      </c>
      <c r="V467" t="inlineStr">
        <is>
          <t>1997-04-22</t>
        </is>
      </c>
      <c r="W467" t="inlineStr">
        <is>
          <t>1989-09-14</t>
        </is>
      </c>
      <c r="X467" t="inlineStr">
        <is>
          <t>1989-09-14</t>
        </is>
      </c>
      <c r="Y467" t="n">
        <v>117</v>
      </c>
      <c r="Z467" t="n">
        <v>83</v>
      </c>
      <c r="AA467" t="n">
        <v>83</v>
      </c>
      <c r="AB467" t="n">
        <v>2</v>
      </c>
      <c r="AC467" t="n">
        <v>2</v>
      </c>
      <c r="AD467" t="n">
        <v>1</v>
      </c>
      <c r="AE467" t="n">
        <v>1</v>
      </c>
      <c r="AF467" t="n">
        <v>0</v>
      </c>
      <c r="AG467" t="n">
        <v>0</v>
      </c>
      <c r="AH467" t="n">
        <v>0</v>
      </c>
      <c r="AI467" t="n">
        <v>0</v>
      </c>
      <c r="AJ467" t="n">
        <v>0</v>
      </c>
      <c r="AK467" t="n">
        <v>0</v>
      </c>
      <c r="AL467" t="n">
        <v>1</v>
      </c>
      <c r="AM467" t="n">
        <v>1</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HYPERLINK("https://creighton-primo.hosted.exlibrisgroup.com/primo-explore/search?tab=default_tab&amp;search_scope=EVERYTHING&amp;vid=01CRU&amp;lang=en_US&amp;offset=0&amp;query=any,contains,991001321989702656","Catalog Record")</f>
        <v/>
      </c>
      <c r="AT467">
        <f>HYPERLINK("http://www.worldcat.org/oclc/17918592","WorldCat Record")</f>
        <v/>
      </c>
      <c r="AU467" t="inlineStr">
        <is>
          <t>8907564501:eng</t>
        </is>
      </c>
      <c r="AV467" t="inlineStr">
        <is>
          <t>17918592</t>
        </is>
      </c>
      <c r="AW467" t="inlineStr">
        <is>
          <t>991001321989702656</t>
        </is>
      </c>
      <c r="AX467" t="inlineStr">
        <is>
          <t>991001321989702656</t>
        </is>
      </c>
      <c r="AY467" t="inlineStr">
        <is>
          <t>2255124380002656</t>
        </is>
      </c>
      <c r="AZ467" t="inlineStr">
        <is>
          <t>BOOK</t>
        </is>
      </c>
      <c r="BB467" t="inlineStr">
        <is>
          <t>9780849348419</t>
        </is>
      </c>
      <c r="BC467" t="inlineStr">
        <is>
          <t>30001001753823</t>
        </is>
      </c>
      <c r="BD467" t="inlineStr">
        <is>
          <t>893727457</t>
        </is>
      </c>
    </row>
    <row r="468">
      <c r="A468" t="inlineStr">
        <is>
          <t>No</t>
        </is>
      </c>
      <c r="B468" t="inlineStr">
        <is>
          <t>QU 210 C626v 1989</t>
        </is>
      </c>
      <c r="C468" t="inlineStr">
        <is>
          <t>0                      QU 0210000C  626v        1989</t>
        </is>
      </c>
      <c r="D468" t="inlineStr">
        <is>
          <t>Vitamin C / author, C. Alan B. Clemetson.</t>
        </is>
      </c>
      <c r="E468" t="inlineStr">
        <is>
          <t>V. 3</t>
        </is>
      </c>
      <c r="F468" t="inlineStr">
        <is>
          <t>Yes</t>
        </is>
      </c>
      <c r="G468" t="inlineStr">
        <is>
          <t>1</t>
        </is>
      </c>
      <c r="H468" t="inlineStr">
        <is>
          <t>No</t>
        </is>
      </c>
      <c r="I468" t="inlineStr">
        <is>
          <t>No</t>
        </is>
      </c>
      <c r="J468" t="inlineStr">
        <is>
          <t>0</t>
        </is>
      </c>
      <c r="K468" t="inlineStr">
        <is>
          <t>Clemetson, C. Alan B.</t>
        </is>
      </c>
      <c r="L468" t="inlineStr">
        <is>
          <t>Boca Raton, Fla. : CRC Press, c1989.</t>
        </is>
      </c>
      <c r="M468" t="inlineStr">
        <is>
          <t>1989</t>
        </is>
      </c>
      <c r="O468" t="inlineStr">
        <is>
          <t>eng</t>
        </is>
      </c>
      <c r="P468" t="inlineStr">
        <is>
          <t>xxu</t>
        </is>
      </c>
      <c r="R468" t="inlineStr">
        <is>
          <t xml:space="preserve">QU </t>
        </is>
      </c>
      <c r="S468" t="n">
        <v>3</v>
      </c>
      <c r="T468" t="n">
        <v>9</v>
      </c>
      <c r="U468" t="inlineStr">
        <is>
          <t>1997-04-22</t>
        </is>
      </c>
      <c r="V468" t="inlineStr">
        <is>
          <t>1997-04-22</t>
        </is>
      </c>
      <c r="W468" t="inlineStr">
        <is>
          <t>1989-09-14</t>
        </is>
      </c>
      <c r="X468" t="inlineStr">
        <is>
          <t>1989-09-14</t>
        </is>
      </c>
      <c r="Y468" t="n">
        <v>117</v>
      </c>
      <c r="Z468" t="n">
        <v>83</v>
      </c>
      <c r="AA468" t="n">
        <v>83</v>
      </c>
      <c r="AB468" t="n">
        <v>2</v>
      </c>
      <c r="AC468" t="n">
        <v>2</v>
      </c>
      <c r="AD468" t="n">
        <v>1</v>
      </c>
      <c r="AE468" t="n">
        <v>1</v>
      </c>
      <c r="AF468" t="n">
        <v>0</v>
      </c>
      <c r="AG468" t="n">
        <v>0</v>
      </c>
      <c r="AH468" t="n">
        <v>0</v>
      </c>
      <c r="AI468" t="n">
        <v>0</v>
      </c>
      <c r="AJ468" t="n">
        <v>0</v>
      </c>
      <c r="AK468" t="n">
        <v>0</v>
      </c>
      <c r="AL468" t="n">
        <v>1</v>
      </c>
      <c r="AM468" t="n">
        <v>1</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HYPERLINK("https://creighton-primo.hosted.exlibrisgroup.com/primo-explore/search?tab=default_tab&amp;search_scope=EVERYTHING&amp;vid=01CRU&amp;lang=en_US&amp;offset=0&amp;query=any,contains,991001321989702656","Catalog Record")</f>
        <v/>
      </c>
      <c r="AT468">
        <f>HYPERLINK("http://www.worldcat.org/oclc/17918592","WorldCat Record")</f>
        <v/>
      </c>
      <c r="AU468" t="inlineStr">
        <is>
          <t>8907564501:eng</t>
        </is>
      </c>
      <c r="AV468" t="inlineStr">
        <is>
          <t>17918592</t>
        </is>
      </c>
      <c r="AW468" t="inlineStr">
        <is>
          <t>991001321989702656</t>
        </is>
      </c>
      <c r="AX468" t="inlineStr">
        <is>
          <t>991001321989702656</t>
        </is>
      </c>
      <c r="AY468" t="inlineStr">
        <is>
          <t>2255124380002656</t>
        </is>
      </c>
      <c r="AZ468" t="inlineStr">
        <is>
          <t>BOOK</t>
        </is>
      </c>
      <c r="BB468" t="inlineStr">
        <is>
          <t>9780849348419</t>
        </is>
      </c>
      <c r="BC468" t="inlineStr">
        <is>
          <t>30001001753849</t>
        </is>
      </c>
      <c r="BD468" t="inlineStr">
        <is>
          <t>893727456</t>
        </is>
      </c>
    </row>
    <row r="469">
      <c r="A469" t="inlineStr">
        <is>
          <t>No</t>
        </is>
      </c>
      <c r="B469" t="inlineStr">
        <is>
          <t>QU 220 F589 1998</t>
        </is>
      </c>
      <c r="C469" t="inlineStr">
        <is>
          <t>0                      QU 0220000F  589         1998</t>
        </is>
      </c>
      <c r="D469" t="inlineStr">
        <is>
          <t>Flavonoids in health and disease / edited by Catherine A. Rice-Evans, Lester Packer.</t>
        </is>
      </c>
      <c r="F469" t="inlineStr">
        <is>
          <t>No</t>
        </is>
      </c>
      <c r="G469" t="inlineStr">
        <is>
          <t>1</t>
        </is>
      </c>
      <c r="H469" t="inlineStr">
        <is>
          <t>No</t>
        </is>
      </c>
      <c r="I469" t="inlineStr">
        <is>
          <t>No</t>
        </is>
      </c>
      <c r="J469" t="inlineStr">
        <is>
          <t>0</t>
        </is>
      </c>
      <c r="L469" t="inlineStr">
        <is>
          <t>New York : Marcel Dekker, c1998.</t>
        </is>
      </c>
      <c r="M469" t="inlineStr">
        <is>
          <t>1998</t>
        </is>
      </c>
      <c r="O469" t="inlineStr">
        <is>
          <t>eng</t>
        </is>
      </c>
      <c r="P469" t="inlineStr">
        <is>
          <t>nyu</t>
        </is>
      </c>
      <c r="Q469" t="inlineStr">
        <is>
          <t>Antioxidants in health and disease ; 7</t>
        </is>
      </c>
      <c r="R469" t="inlineStr">
        <is>
          <t xml:space="preserve">QU </t>
        </is>
      </c>
      <c r="S469" t="n">
        <v>4</v>
      </c>
      <c r="T469" t="n">
        <v>4</v>
      </c>
      <c r="U469" t="inlineStr">
        <is>
          <t>1998-10-21</t>
        </is>
      </c>
      <c r="V469" t="inlineStr">
        <is>
          <t>1998-10-21</t>
        </is>
      </c>
      <c r="W469" t="inlineStr">
        <is>
          <t>1997-11-04</t>
        </is>
      </c>
      <c r="X469" t="inlineStr">
        <is>
          <t>1997-11-04</t>
        </is>
      </c>
      <c r="Y469" t="n">
        <v>139</v>
      </c>
      <c r="Z469" t="n">
        <v>95</v>
      </c>
      <c r="AA469" t="n">
        <v>178</v>
      </c>
      <c r="AB469" t="n">
        <v>1</v>
      </c>
      <c r="AC469" t="n">
        <v>2</v>
      </c>
      <c r="AD469" t="n">
        <v>4</v>
      </c>
      <c r="AE469" t="n">
        <v>5</v>
      </c>
      <c r="AF469" t="n">
        <v>0</v>
      </c>
      <c r="AG469" t="n">
        <v>0</v>
      </c>
      <c r="AH469" t="n">
        <v>2</v>
      </c>
      <c r="AI469" t="n">
        <v>2</v>
      </c>
      <c r="AJ469" t="n">
        <v>3</v>
      </c>
      <c r="AK469" t="n">
        <v>3</v>
      </c>
      <c r="AL469" t="n">
        <v>0</v>
      </c>
      <c r="AM469" t="n">
        <v>1</v>
      </c>
      <c r="AN469" t="n">
        <v>0</v>
      </c>
      <c r="AO469" t="n">
        <v>0</v>
      </c>
      <c r="AP469" t="inlineStr">
        <is>
          <t>No</t>
        </is>
      </c>
      <c r="AQ469" t="inlineStr">
        <is>
          <t>Yes</t>
        </is>
      </c>
      <c r="AR469">
        <f>HYPERLINK("http://catalog.hathitrust.org/Record/003204308","HathiTrust Record")</f>
        <v/>
      </c>
      <c r="AS469">
        <f>HYPERLINK("https://creighton-primo.hosted.exlibrisgroup.com/primo-explore/search?tab=default_tab&amp;search_scope=EVERYTHING&amp;vid=01CRU&amp;lang=en_US&amp;offset=0&amp;query=any,contains,991001198879702656","Catalog Record")</f>
        <v/>
      </c>
      <c r="AT469">
        <f>HYPERLINK("http://www.worldcat.org/oclc/37451778","WorldCat Record")</f>
        <v/>
      </c>
      <c r="AU469" t="inlineStr">
        <is>
          <t>766933536:eng</t>
        </is>
      </c>
      <c r="AV469" t="inlineStr">
        <is>
          <t>37451778</t>
        </is>
      </c>
      <c r="AW469" t="inlineStr">
        <is>
          <t>991001198879702656</t>
        </is>
      </c>
      <c r="AX469" t="inlineStr">
        <is>
          <t>991001198879702656</t>
        </is>
      </c>
      <c r="AY469" t="inlineStr">
        <is>
          <t>2260268420002656</t>
        </is>
      </c>
      <c r="AZ469" t="inlineStr">
        <is>
          <t>BOOK</t>
        </is>
      </c>
      <c r="BB469" t="inlineStr">
        <is>
          <t>9780824700966</t>
        </is>
      </c>
      <c r="BC469" t="inlineStr">
        <is>
          <t>30001003653849</t>
        </is>
      </c>
      <c r="BD469" t="inlineStr">
        <is>
          <t>893161759</t>
        </is>
      </c>
    </row>
    <row r="470">
      <c r="A470" t="inlineStr">
        <is>
          <t>No</t>
        </is>
      </c>
      <c r="B470" t="inlineStr">
        <is>
          <t>QU 230 B61443 1982</t>
        </is>
      </c>
      <c r="C470" t="inlineStr">
        <is>
          <t>0                      QU 0230000B  61443       1982</t>
        </is>
      </c>
      <c r="D470" t="inlineStr">
        <is>
          <t>Biomedicinal aspects of fluorine chemistry / Robert Filler and Yoshiro Kobayashi, editors.</t>
        </is>
      </c>
      <c r="F470" t="inlineStr">
        <is>
          <t>No</t>
        </is>
      </c>
      <c r="G470" t="inlineStr">
        <is>
          <t>1</t>
        </is>
      </c>
      <c r="H470" t="inlineStr">
        <is>
          <t>No</t>
        </is>
      </c>
      <c r="I470" t="inlineStr">
        <is>
          <t>No</t>
        </is>
      </c>
      <c r="J470" t="inlineStr">
        <is>
          <t>0</t>
        </is>
      </c>
      <c r="L470" t="inlineStr">
        <is>
          <t>Amsterdam ; New York : Elsevier Biomedical Press, c1982.</t>
        </is>
      </c>
      <c r="M470" t="inlineStr">
        <is>
          <t>1982</t>
        </is>
      </c>
      <c r="O470" t="inlineStr">
        <is>
          <t>eng</t>
        </is>
      </c>
      <c r="P470" t="inlineStr">
        <is>
          <t xml:space="preserve">ne </t>
        </is>
      </c>
      <c r="R470" t="inlineStr">
        <is>
          <t xml:space="preserve">QU </t>
        </is>
      </c>
      <c r="S470" t="n">
        <v>3</v>
      </c>
      <c r="T470" t="n">
        <v>3</v>
      </c>
      <c r="U470" t="inlineStr">
        <is>
          <t>2002-10-21</t>
        </is>
      </c>
      <c r="V470" t="inlineStr">
        <is>
          <t>2002-10-21</t>
        </is>
      </c>
      <c r="W470" t="inlineStr">
        <is>
          <t>1988-01-26</t>
        </is>
      </c>
      <c r="X470" t="inlineStr">
        <is>
          <t>1988-01-26</t>
        </is>
      </c>
      <c r="Y470" t="n">
        <v>100</v>
      </c>
      <c r="Z470" t="n">
        <v>77</v>
      </c>
      <c r="AA470" t="n">
        <v>95</v>
      </c>
      <c r="AB470" t="n">
        <v>1</v>
      </c>
      <c r="AC470" t="n">
        <v>1</v>
      </c>
      <c r="AD470" t="n">
        <v>0</v>
      </c>
      <c r="AE470" t="n">
        <v>1</v>
      </c>
      <c r="AF470" t="n">
        <v>0</v>
      </c>
      <c r="AG470" t="n">
        <v>0</v>
      </c>
      <c r="AH470" t="n">
        <v>0</v>
      </c>
      <c r="AI470" t="n">
        <v>1</v>
      </c>
      <c r="AJ470" t="n">
        <v>0</v>
      </c>
      <c r="AK470" t="n">
        <v>0</v>
      </c>
      <c r="AL470" t="n">
        <v>0</v>
      </c>
      <c r="AM470" t="n">
        <v>0</v>
      </c>
      <c r="AN470" t="n">
        <v>0</v>
      </c>
      <c r="AO470" t="n">
        <v>0</v>
      </c>
      <c r="AP470" t="inlineStr">
        <is>
          <t>No</t>
        </is>
      </c>
      <c r="AQ470" t="inlineStr">
        <is>
          <t>Yes</t>
        </is>
      </c>
      <c r="AR470">
        <f>HYPERLINK("http://catalog.hathitrust.org/Record/006257902","HathiTrust Record")</f>
        <v/>
      </c>
      <c r="AS470">
        <f>HYPERLINK("https://creighton-primo.hosted.exlibrisgroup.com/primo-explore/search?tab=default_tab&amp;search_scope=EVERYTHING&amp;vid=01CRU&amp;lang=en_US&amp;offset=0&amp;query=any,contains,991000911829702656","Catalog Record")</f>
        <v/>
      </c>
      <c r="AT470">
        <f>HYPERLINK("http://www.worldcat.org/oclc/8827600","WorldCat Record")</f>
        <v/>
      </c>
      <c r="AU470" t="inlineStr">
        <is>
          <t>365575847:eng</t>
        </is>
      </c>
      <c r="AV470" t="inlineStr">
        <is>
          <t>8827600</t>
        </is>
      </c>
      <c r="AW470" t="inlineStr">
        <is>
          <t>991000911829702656</t>
        </is>
      </c>
      <c r="AX470" t="inlineStr">
        <is>
          <t>991000911829702656</t>
        </is>
      </c>
      <c r="AY470" t="inlineStr">
        <is>
          <t>2266445620002656</t>
        </is>
      </c>
      <c r="AZ470" t="inlineStr">
        <is>
          <t>BOOK</t>
        </is>
      </c>
      <c r="BB470" t="inlineStr">
        <is>
          <t>9780444804662</t>
        </is>
      </c>
      <c r="BC470" t="inlineStr">
        <is>
          <t>30001000178550</t>
        </is>
      </c>
      <c r="BD470" t="inlineStr">
        <is>
          <t>893368891</t>
        </is>
      </c>
    </row>
    <row r="471">
      <c r="A471" t="inlineStr">
        <is>
          <t>No</t>
        </is>
      </c>
      <c r="B471" t="inlineStr">
        <is>
          <t>QU 325 T227s 2008</t>
        </is>
      </c>
      <c r="C471" t="inlineStr">
        <is>
          <t>0                      QU 0325000T  227s        2008</t>
        </is>
      </c>
      <c r="D471" t="inlineStr">
        <is>
          <t>Stem cells and regenerative medicine. Volume III, Pharmacology and therapy / Phillippe Taupin.</t>
        </is>
      </c>
      <c r="F471" t="inlineStr">
        <is>
          <t>No</t>
        </is>
      </c>
      <c r="G471" t="inlineStr">
        <is>
          <t>1</t>
        </is>
      </c>
      <c r="H471" t="inlineStr">
        <is>
          <t>No</t>
        </is>
      </c>
      <c r="I471" t="inlineStr">
        <is>
          <t>No</t>
        </is>
      </c>
      <c r="J471" t="inlineStr">
        <is>
          <t>0</t>
        </is>
      </c>
      <c r="K471" t="inlineStr">
        <is>
          <t>Taupin, Philippe.</t>
        </is>
      </c>
      <c r="L471" t="inlineStr">
        <is>
          <t>Hauppauge, N.Y. : Nova Science ; Lancaster : Gazelle [distributor], 2008.</t>
        </is>
      </c>
      <c r="M471" t="inlineStr">
        <is>
          <t>2008</t>
        </is>
      </c>
      <c r="O471" t="inlineStr">
        <is>
          <t>eng</t>
        </is>
      </c>
      <c r="P471" t="inlineStr">
        <is>
          <t>nyu</t>
        </is>
      </c>
      <c r="R471" t="inlineStr">
        <is>
          <t xml:space="preserve">QU </t>
        </is>
      </c>
      <c r="S471" t="n">
        <v>0</v>
      </c>
      <c r="T471" t="n">
        <v>0</v>
      </c>
      <c r="U471" t="inlineStr">
        <is>
          <t>2009-05-22</t>
        </is>
      </c>
      <c r="V471" t="inlineStr">
        <is>
          <t>2009-05-22</t>
        </is>
      </c>
      <c r="W471" t="inlineStr">
        <is>
          <t>2009-05-22</t>
        </is>
      </c>
      <c r="X471" t="inlineStr">
        <is>
          <t>2009-05-22</t>
        </is>
      </c>
      <c r="Y471" t="n">
        <v>8</v>
      </c>
      <c r="Z471" t="n">
        <v>6</v>
      </c>
      <c r="AA471" t="n">
        <v>671</v>
      </c>
      <c r="AB471" t="n">
        <v>1</v>
      </c>
      <c r="AC471" t="n">
        <v>8</v>
      </c>
      <c r="AD471" t="n">
        <v>0</v>
      </c>
      <c r="AE471" t="n">
        <v>24</v>
      </c>
      <c r="AF471" t="n">
        <v>0</v>
      </c>
      <c r="AG471" t="n">
        <v>7</v>
      </c>
      <c r="AH471" t="n">
        <v>0</v>
      </c>
      <c r="AI471" t="n">
        <v>6</v>
      </c>
      <c r="AJ471" t="n">
        <v>0</v>
      </c>
      <c r="AK471" t="n">
        <v>6</v>
      </c>
      <c r="AL471" t="n">
        <v>0</v>
      </c>
      <c r="AM471" t="n">
        <v>7</v>
      </c>
      <c r="AN471" t="n">
        <v>0</v>
      </c>
      <c r="AO471" t="n">
        <v>1</v>
      </c>
      <c r="AP471" t="inlineStr">
        <is>
          <t>No</t>
        </is>
      </c>
      <c r="AQ471" t="inlineStr">
        <is>
          <t>No</t>
        </is>
      </c>
      <c r="AS471">
        <f>HYPERLINK("https://creighton-primo.hosted.exlibrisgroup.com/primo-explore/search?tab=default_tab&amp;search_scope=EVERYTHING&amp;vid=01CRU&amp;lang=en_US&amp;offset=0&amp;query=any,contains,991001465109702656","Catalog Record")</f>
        <v/>
      </c>
      <c r="AT471">
        <f>HYPERLINK("http://www.worldcat.org/oclc/232366099","WorldCat Record")</f>
        <v/>
      </c>
      <c r="AU471" t="inlineStr">
        <is>
          <t>119732712:eng</t>
        </is>
      </c>
      <c r="AV471" t="inlineStr">
        <is>
          <t>232366099</t>
        </is>
      </c>
      <c r="AW471" t="inlineStr">
        <is>
          <t>991001465109702656</t>
        </is>
      </c>
      <c r="AX471" t="inlineStr">
        <is>
          <t>991001465109702656</t>
        </is>
      </c>
      <c r="AY471" t="inlineStr">
        <is>
          <t>2255425760002656</t>
        </is>
      </c>
      <c r="AZ471" t="inlineStr">
        <is>
          <t>BOOK</t>
        </is>
      </c>
      <c r="BB471" t="inlineStr">
        <is>
          <t>9781604564723</t>
        </is>
      </c>
      <c r="BC471" t="inlineStr">
        <is>
          <t>30001004916831</t>
        </is>
      </c>
      <c r="BD471" t="inlineStr">
        <is>
          <t>893358630</t>
        </is>
      </c>
    </row>
    <row r="472">
      <c r="A472" t="inlineStr">
        <is>
          <t>No</t>
        </is>
      </c>
      <c r="B472" t="inlineStr">
        <is>
          <t>QU 375 S5784 2008</t>
        </is>
      </c>
      <c r="C472" t="inlineStr">
        <is>
          <t>0                      QU 0375000S  5784        2008</t>
        </is>
      </c>
      <c r="D472" t="inlineStr">
        <is>
          <t>Signal transduction : new research / Lorenzo F. Greco and Alessandro L. Martino, editors.</t>
        </is>
      </c>
      <c r="F472" t="inlineStr">
        <is>
          <t>No</t>
        </is>
      </c>
      <c r="G472" t="inlineStr">
        <is>
          <t>1</t>
        </is>
      </c>
      <c r="H472" t="inlineStr">
        <is>
          <t>No</t>
        </is>
      </c>
      <c r="I472" t="inlineStr">
        <is>
          <t>No</t>
        </is>
      </c>
      <c r="J472" t="inlineStr">
        <is>
          <t>0</t>
        </is>
      </c>
      <c r="L472" t="inlineStr">
        <is>
          <t>New York : Nova Biomedical Books, c2008.</t>
        </is>
      </c>
      <c r="M472" t="inlineStr">
        <is>
          <t>2008</t>
        </is>
      </c>
      <c r="O472" t="inlineStr">
        <is>
          <t>eng</t>
        </is>
      </c>
      <c r="P472" t="inlineStr">
        <is>
          <t>nyu</t>
        </is>
      </c>
      <c r="R472" t="inlineStr">
        <is>
          <t xml:space="preserve">QU </t>
        </is>
      </c>
      <c r="S472" t="n">
        <v>0</v>
      </c>
      <c r="T472" t="n">
        <v>0</v>
      </c>
      <c r="U472" t="inlineStr">
        <is>
          <t>2010-01-07</t>
        </is>
      </c>
      <c r="V472" t="inlineStr">
        <is>
          <t>2010-01-07</t>
        </is>
      </c>
      <c r="W472" t="inlineStr">
        <is>
          <t>2010-01-07</t>
        </is>
      </c>
      <c r="X472" t="inlineStr">
        <is>
          <t>2010-01-07</t>
        </is>
      </c>
      <c r="Y472" t="n">
        <v>41</v>
      </c>
      <c r="Z472" t="n">
        <v>29</v>
      </c>
      <c r="AA472" t="n">
        <v>34</v>
      </c>
      <c r="AB472" t="n">
        <v>1</v>
      </c>
      <c r="AC472" t="n">
        <v>1</v>
      </c>
      <c r="AD472" t="n">
        <v>1</v>
      </c>
      <c r="AE472" t="n">
        <v>1</v>
      </c>
      <c r="AF472" t="n">
        <v>0</v>
      </c>
      <c r="AG472" t="n">
        <v>0</v>
      </c>
      <c r="AH472" t="n">
        <v>1</v>
      </c>
      <c r="AI472" t="n">
        <v>1</v>
      </c>
      <c r="AJ472" t="n">
        <v>1</v>
      </c>
      <c r="AK472" t="n">
        <v>1</v>
      </c>
      <c r="AL472" t="n">
        <v>0</v>
      </c>
      <c r="AM472" t="n">
        <v>0</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HYPERLINK("https://creighton-primo.hosted.exlibrisgroup.com/primo-explore/search?tab=default_tab&amp;search_scope=EVERYTHING&amp;vid=01CRU&amp;lang=en_US&amp;offset=0&amp;query=any,contains,991001554499702656","Catalog Record")</f>
        <v/>
      </c>
      <c r="AT472">
        <f>HYPERLINK("http://www.worldcat.org/oclc/229430561","WorldCat Record")</f>
        <v/>
      </c>
      <c r="AU472" t="inlineStr">
        <is>
          <t>138074859:eng</t>
        </is>
      </c>
      <c r="AV472" t="inlineStr">
        <is>
          <t>229430561</t>
        </is>
      </c>
      <c r="AW472" t="inlineStr">
        <is>
          <t>991001554499702656</t>
        </is>
      </c>
      <c r="AX472" t="inlineStr">
        <is>
          <t>991001554499702656</t>
        </is>
      </c>
      <c r="AY472" t="inlineStr">
        <is>
          <t>2270869690002656</t>
        </is>
      </c>
      <c r="AZ472" t="inlineStr">
        <is>
          <t>BOOK</t>
        </is>
      </c>
      <c r="BB472" t="inlineStr">
        <is>
          <t>9781604563382</t>
        </is>
      </c>
      <c r="BC472" t="inlineStr">
        <is>
          <t>30001005366564</t>
        </is>
      </c>
      <c r="BD472" t="inlineStr">
        <is>
          <t>893826862</t>
        </is>
      </c>
    </row>
    <row r="473">
      <c r="A473" t="inlineStr">
        <is>
          <t>No</t>
        </is>
      </c>
      <c r="B473" t="inlineStr">
        <is>
          <t>QU 475 G328 2008</t>
        </is>
      </c>
      <c r="C473" t="inlineStr">
        <is>
          <t>0                      QU 0475000G  328         2008</t>
        </is>
      </c>
      <c r="D473" t="inlineStr">
        <is>
          <t>Genetic recombination research progress / Jacob H. Schulz, editor.</t>
        </is>
      </c>
      <c r="F473" t="inlineStr">
        <is>
          <t>No</t>
        </is>
      </c>
      <c r="G473" t="inlineStr">
        <is>
          <t>1</t>
        </is>
      </c>
      <c r="H473" t="inlineStr">
        <is>
          <t>No</t>
        </is>
      </c>
      <c r="I473" t="inlineStr">
        <is>
          <t>No</t>
        </is>
      </c>
      <c r="J473" t="inlineStr">
        <is>
          <t>0</t>
        </is>
      </c>
      <c r="L473" t="inlineStr">
        <is>
          <t>New York : Nova Biomedical Books, c2008.</t>
        </is>
      </c>
      <c r="M473" t="inlineStr">
        <is>
          <t>2008</t>
        </is>
      </c>
      <c r="O473" t="inlineStr">
        <is>
          <t>eng</t>
        </is>
      </c>
      <c r="P473" t="inlineStr">
        <is>
          <t>nyu</t>
        </is>
      </c>
      <c r="R473" t="inlineStr">
        <is>
          <t xml:space="preserve">QU </t>
        </is>
      </c>
      <c r="S473" t="n">
        <v>0</v>
      </c>
      <c r="T473" t="n">
        <v>0</v>
      </c>
      <c r="U473" t="inlineStr">
        <is>
          <t>2009-05-21</t>
        </is>
      </c>
      <c r="V473" t="inlineStr">
        <is>
          <t>2009-05-21</t>
        </is>
      </c>
      <c r="W473" t="inlineStr">
        <is>
          <t>2009-05-21</t>
        </is>
      </c>
      <c r="X473" t="inlineStr">
        <is>
          <t>2009-05-21</t>
        </is>
      </c>
      <c r="Y473" t="n">
        <v>46</v>
      </c>
      <c r="Z473" t="n">
        <v>32</v>
      </c>
      <c r="AA473" t="n">
        <v>314</v>
      </c>
      <c r="AB473" t="n">
        <v>1</v>
      </c>
      <c r="AC473" t="n">
        <v>4</v>
      </c>
      <c r="AD473" t="n">
        <v>1</v>
      </c>
      <c r="AE473" t="n">
        <v>6</v>
      </c>
      <c r="AF473" t="n">
        <v>0</v>
      </c>
      <c r="AG473" t="n">
        <v>1</v>
      </c>
      <c r="AH473" t="n">
        <v>1</v>
      </c>
      <c r="AI473" t="n">
        <v>1</v>
      </c>
      <c r="AJ473" t="n">
        <v>1</v>
      </c>
      <c r="AK473" t="n">
        <v>2</v>
      </c>
      <c r="AL473" t="n">
        <v>0</v>
      </c>
      <c r="AM473" t="n">
        <v>3</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HYPERLINK("https://creighton-primo.hosted.exlibrisgroup.com/primo-explore/search?tab=default_tab&amp;search_scope=EVERYTHING&amp;vid=01CRU&amp;lang=en_US&amp;offset=0&amp;query=any,contains,991001463319702656","Catalog Record")</f>
        <v/>
      </c>
      <c r="AT473">
        <f>HYPERLINK("http://www.worldcat.org/oclc/192134520","WorldCat Record")</f>
        <v/>
      </c>
      <c r="AU473" t="inlineStr">
        <is>
          <t>119997398:eng</t>
        </is>
      </c>
      <c r="AV473" t="inlineStr">
        <is>
          <t>192134520</t>
        </is>
      </c>
      <c r="AW473" t="inlineStr">
        <is>
          <t>991001463319702656</t>
        </is>
      </c>
      <c r="AX473" t="inlineStr">
        <is>
          <t>991001463319702656</t>
        </is>
      </c>
      <c r="AY473" t="inlineStr">
        <is>
          <t>2266782310002656</t>
        </is>
      </c>
      <c r="AZ473" t="inlineStr">
        <is>
          <t>BOOK</t>
        </is>
      </c>
      <c r="BB473" t="inlineStr">
        <is>
          <t>9781604564822</t>
        </is>
      </c>
      <c r="BC473" t="inlineStr">
        <is>
          <t>30001004916450</t>
        </is>
      </c>
      <c r="BD473" t="inlineStr">
        <is>
          <t>893552532</t>
        </is>
      </c>
    </row>
    <row r="474">
      <c r="A474" t="inlineStr">
        <is>
          <t>No</t>
        </is>
      </c>
      <c r="B474" t="inlineStr">
        <is>
          <t>QU 475 R62665 2008</t>
        </is>
      </c>
      <c r="C474" t="inlineStr">
        <is>
          <t>0                      QU 0475000R  62665       2008</t>
        </is>
      </c>
      <c r="D474" t="inlineStr">
        <is>
          <t>RNA interference research progress / Roger T. Lyland and Irving B. Browning, editors.</t>
        </is>
      </c>
      <c r="F474" t="inlineStr">
        <is>
          <t>No</t>
        </is>
      </c>
      <c r="G474" t="inlineStr">
        <is>
          <t>1</t>
        </is>
      </c>
      <c r="H474" t="inlineStr">
        <is>
          <t>No</t>
        </is>
      </c>
      <c r="I474" t="inlineStr">
        <is>
          <t>No</t>
        </is>
      </c>
      <c r="J474" t="inlineStr">
        <is>
          <t>0</t>
        </is>
      </c>
      <c r="L474" t="inlineStr">
        <is>
          <t>New York : Nova Biomedical Books, c2008.</t>
        </is>
      </c>
      <c r="M474" t="inlineStr">
        <is>
          <t>2008</t>
        </is>
      </c>
      <c r="O474" t="inlineStr">
        <is>
          <t>eng</t>
        </is>
      </c>
      <c r="P474" t="inlineStr">
        <is>
          <t>nyu</t>
        </is>
      </c>
      <c r="R474" t="inlineStr">
        <is>
          <t xml:space="preserve">QU </t>
        </is>
      </c>
      <c r="S474" t="n">
        <v>0</v>
      </c>
      <c r="T474" t="n">
        <v>0</v>
      </c>
      <c r="U474" t="inlineStr">
        <is>
          <t>2009-05-22</t>
        </is>
      </c>
      <c r="V474" t="inlineStr">
        <is>
          <t>2009-05-22</t>
        </is>
      </c>
      <c r="W474" t="inlineStr">
        <is>
          <t>2009-05-21</t>
        </is>
      </c>
      <c r="X474" t="inlineStr">
        <is>
          <t>2009-05-21</t>
        </is>
      </c>
      <c r="Y474" t="n">
        <v>49</v>
      </c>
      <c r="Z474" t="n">
        <v>32</v>
      </c>
      <c r="AA474" t="n">
        <v>32</v>
      </c>
      <c r="AB474" t="n">
        <v>1</v>
      </c>
      <c r="AC474" t="n">
        <v>1</v>
      </c>
      <c r="AD474" t="n">
        <v>2</v>
      </c>
      <c r="AE474" t="n">
        <v>2</v>
      </c>
      <c r="AF474" t="n">
        <v>0</v>
      </c>
      <c r="AG474" t="n">
        <v>0</v>
      </c>
      <c r="AH474" t="n">
        <v>2</v>
      </c>
      <c r="AI474" t="n">
        <v>2</v>
      </c>
      <c r="AJ474" t="n">
        <v>1</v>
      </c>
      <c r="AK474" t="n">
        <v>1</v>
      </c>
      <c r="AL474" t="n">
        <v>0</v>
      </c>
      <c r="AM474" t="n">
        <v>0</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HYPERLINK("https://creighton-primo.hosted.exlibrisgroup.com/primo-explore/search?tab=default_tab&amp;search_scope=EVERYTHING&amp;vid=01CRU&amp;lang=en_US&amp;offset=0&amp;query=any,contains,991001463109702656","Catalog Record")</f>
        <v/>
      </c>
      <c r="AT474">
        <f>HYPERLINK("http://www.worldcat.org/oclc/192134508","WorldCat Record")</f>
        <v/>
      </c>
      <c r="AU474" t="inlineStr">
        <is>
          <t>1220130471:eng</t>
        </is>
      </c>
      <c r="AV474" t="inlineStr">
        <is>
          <t>192134508</t>
        </is>
      </c>
      <c r="AW474" t="inlineStr">
        <is>
          <t>991001463109702656</t>
        </is>
      </c>
      <c r="AX474" t="inlineStr">
        <is>
          <t>991001463109702656</t>
        </is>
      </c>
      <c r="AY474" t="inlineStr">
        <is>
          <t>2266795340002656</t>
        </is>
      </c>
      <c r="AZ474" t="inlineStr">
        <is>
          <t>BOOK</t>
        </is>
      </c>
      <c r="BB474" t="inlineStr">
        <is>
          <t>9781604564464</t>
        </is>
      </c>
      <c r="BC474" t="inlineStr">
        <is>
          <t>30001004916542</t>
        </is>
      </c>
      <c r="BD474" t="inlineStr">
        <is>
          <t>893552531</t>
        </is>
      </c>
    </row>
    <row r="475">
      <c r="A475" t="inlineStr">
        <is>
          <t>No</t>
        </is>
      </c>
      <c r="B475" t="inlineStr">
        <is>
          <t>QU 766 G849m 1931</t>
        </is>
      </c>
      <c r="C475" t="inlineStr">
        <is>
          <t>0                      QU 0766000G  849m        1931</t>
        </is>
      </c>
      <c r="D475" t="inlineStr">
        <is>
          <t>A modern herbal : the medicinal, culinary, cosmetic and economic properties, cultivation and folk-lore of herbs, grasses, fungi, shrubs &amp; trees with all their modern scientific uses / by Mrs. M. Grieve.</t>
        </is>
      </c>
      <c r="E475" t="inlineStr">
        <is>
          <t>V. 1</t>
        </is>
      </c>
      <c r="F475" t="inlineStr">
        <is>
          <t>Yes</t>
        </is>
      </c>
      <c r="G475" t="inlineStr">
        <is>
          <t>1</t>
        </is>
      </c>
      <c r="H475" t="inlineStr">
        <is>
          <t>No</t>
        </is>
      </c>
      <c r="I475" t="inlineStr">
        <is>
          <t>No</t>
        </is>
      </c>
      <c r="J475" t="inlineStr">
        <is>
          <t>0</t>
        </is>
      </c>
      <c r="K475" t="inlineStr">
        <is>
          <t>Grieve, M. (Maud)</t>
        </is>
      </c>
      <c r="L475" t="inlineStr">
        <is>
          <t>London : J. Cape, 1931.</t>
        </is>
      </c>
      <c r="M475" t="inlineStr">
        <is>
          <t>1931</t>
        </is>
      </c>
      <c r="O475" t="inlineStr">
        <is>
          <t>eng</t>
        </is>
      </c>
      <c r="P475" t="inlineStr">
        <is>
          <t>enk</t>
        </is>
      </c>
      <c r="R475" t="inlineStr">
        <is>
          <t xml:space="preserve">QU </t>
        </is>
      </c>
      <c r="S475" t="n">
        <v>5</v>
      </c>
      <c r="T475" t="n">
        <v>11</v>
      </c>
      <c r="U475" t="inlineStr">
        <is>
          <t>2002-11-14</t>
        </is>
      </c>
      <c r="V475" t="inlineStr">
        <is>
          <t>2002-11-14</t>
        </is>
      </c>
      <c r="W475" t="inlineStr">
        <is>
          <t>1988-01-27</t>
        </is>
      </c>
      <c r="X475" t="inlineStr">
        <is>
          <t>1988-01-27</t>
        </is>
      </c>
      <c r="Y475" t="n">
        <v>54</v>
      </c>
      <c r="Z475" t="n">
        <v>44</v>
      </c>
      <c r="AA475" t="n">
        <v>380</v>
      </c>
      <c r="AB475" t="n">
        <v>1</v>
      </c>
      <c r="AC475" t="n">
        <v>4</v>
      </c>
      <c r="AD475" t="n">
        <v>0</v>
      </c>
      <c r="AE475" t="n">
        <v>9</v>
      </c>
      <c r="AF475" t="n">
        <v>0</v>
      </c>
      <c r="AG475" t="n">
        <v>3</v>
      </c>
      <c r="AH475" t="n">
        <v>0</v>
      </c>
      <c r="AI475" t="n">
        <v>2</v>
      </c>
      <c r="AJ475" t="n">
        <v>0</v>
      </c>
      <c r="AK475" t="n">
        <v>2</v>
      </c>
      <c r="AL475" t="n">
        <v>0</v>
      </c>
      <c r="AM475" t="n">
        <v>3</v>
      </c>
      <c r="AN475" t="n">
        <v>0</v>
      </c>
      <c r="AO475" t="n">
        <v>0</v>
      </c>
      <c r="AP475" t="inlineStr">
        <is>
          <t>No</t>
        </is>
      </c>
      <c r="AQ475" t="inlineStr">
        <is>
          <t>Yes</t>
        </is>
      </c>
      <c r="AR475">
        <f>HYPERLINK("http://catalog.hathitrust.org/Record/001994384","HathiTrust Record")</f>
        <v/>
      </c>
      <c r="AS475">
        <f>HYPERLINK("https://creighton-primo.hosted.exlibrisgroup.com/primo-explore/search?tab=default_tab&amp;search_scope=EVERYTHING&amp;vid=01CRU&amp;lang=en_US&amp;offset=0&amp;query=any,contains,991000913409702656","Catalog Record")</f>
        <v/>
      </c>
      <c r="AT475">
        <f>HYPERLINK("http://www.worldcat.org/oclc/4920247","WorldCat Record")</f>
        <v/>
      </c>
      <c r="AU475" t="inlineStr">
        <is>
          <t>1908973603:eng</t>
        </is>
      </c>
      <c r="AV475" t="inlineStr">
        <is>
          <t>4920247</t>
        </is>
      </c>
      <c r="AW475" t="inlineStr">
        <is>
          <t>991000913409702656</t>
        </is>
      </c>
      <c r="AX475" t="inlineStr">
        <is>
          <t>991000913409702656</t>
        </is>
      </c>
      <c r="AY475" t="inlineStr">
        <is>
          <t>2270391760002656</t>
        </is>
      </c>
      <c r="AZ475" t="inlineStr">
        <is>
          <t>BOOK</t>
        </is>
      </c>
      <c r="BC475" t="inlineStr">
        <is>
          <t>30001000178873</t>
        </is>
      </c>
      <c r="BD475" t="inlineStr">
        <is>
          <t>893120724</t>
        </is>
      </c>
    </row>
    <row r="476">
      <c r="A476" t="inlineStr">
        <is>
          <t>No</t>
        </is>
      </c>
      <c r="B476" t="inlineStr">
        <is>
          <t>QU 766 G849m 1931</t>
        </is>
      </c>
      <c r="C476" t="inlineStr">
        <is>
          <t>0                      QU 0766000G  849m        1931</t>
        </is>
      </c>
      <c r="D476" t="inlineStr">
        <is>
          <t>A modern herbal : the medicinal, culinary, cosmetic and economic properties, cultivation and folk-lore of herbs, grasses, fungi, shrubs &amp; trees with all their modern scientific uses / by Mrs. M. Grieve.</t>
        </is>
      </c>
      <c r="E476" t="inlineStr">
        <is>
          <t>V. 2</t>
        </is>
      </c>
      <c r="F476" t="inlineStr">
        <is>
          <t>Yes</t>
        </is>
      </c>
      <c r="G476" t="inlineStr">
        <is>
          <t>1</t>
        </is>
      </c>
      <c r="H476" t="inlineStr">
        <is>
          <t>No</t>
        </is>
      </c>
      <c r="I476" t="inlineStr">
        <is>
          <t>No</t>
        </is>
      </c>
      <c r="J476" t="inlineStr">
        <is>
          <t>0</t>
        </is>
      </c>
      <c r="K476" t="inlineStr">
        <is>
          <t>Grieve, M. (Maud)</t>
        </is>
      </c>
      <c r="L476" t="inlineStr">
        <is>
          <t>London : J. Cape, 1931.</t>
        </is>
      </c>
      <c r="M476" t="inlineStr">
        <is>
          <t>1931</t>
        </is>
      </c>
      <c r="O476" t="inlineStr">
        <is>
          <t>eng</t>
        </is>
      </c>
      <c r="P476" t="inlineStr">
        <is>
          <t>enk</t>
        </is>
      </c>
      <c r="R476" t="inlineStr">
        <is>
          <t xml:space="preserve">QU </t>
        </is>
      </c>
      <c r="S476" t="n">
        <v>6</v>
      </c>
      <c r="T476" t="n">
        <v>11</v>
      </c>
      <c r="U476" t="inlineStr">
        <is>
          <t>2002-11-14</t>
        </is>
      </c>
      <c r="V476" t="inlineStr">
        <is>
          <t>2002-11-14</t>
        </is>
      </c>
      <c r="W476" t="inlineStr">
        <is>
          <t>1988-01-27</t>
        </is>
      </c>
      <c r="X476" t="inlineStr">
        <is>
          <t>1988-01-27</t>
        </is>
      </c>
      <c r="Y476" t="n">
        <v>54</v>
      </c>
      <c r="Z476" t="n">
        <v>44</v>
      </c>
      <c r="AA476" t="n">
        <v>380</v>
      </c>
      <c r="AB476" t="n">
        <v>1</v>
      </c>
      <c r="AC476" t="n">
        <v>4</v>
      </c>
      <c r="AD476" t="n">
        <v>0</v>
      </c>
      <c r="AE476" t="n">
        <v>9</v>
      </c>
      <c r="AF476" t="n">
        <v>0</v>
      </c>
      <c r="AG476" t="n">
        <v>3</v>
      </c>
      <c r="AH476" t="n">
        <v>0</v>
      </c>
      <c r="AI476" t="n">
        <v>2</v>
      </c>
      <c r="AJ476" t="n">
        <v>0</v>
      </c>
      <c r="AK476" t="n">
        <v>2</v>
      </c>
      <c r="AL476" t="n">
        <v>0</v>
      </c>
      <c r="AM476" t="n">
        <v>3</v>
      </c>
      <c r="AN476" t="n">
        <v>0</v>
      </c>
      <c r="AO476" t="n">
        <v>0</v>
      </c>
      <c r="AP476" t="inlineStr">
        <is>
          <t>No</t>
        </is>
      </c>
      <c r="AQ476" t="inlineStr">
        <is>
          <t>Yes</t>
        </is>
      </c>
      <c r="AR476">
        <f>HYPERLINK("http://catalog.hathitrust.org/Record/001994384","HathiTrust Record")</f>
        <v/>
      </c>
      <c r="AS476">
        <f>HYPERLINK("https://creighton-primo.hosted.exlibrisgroup.com/primo-explore/search?tab=default_tab&amp;search_scope=EVERYTHING&amp;vid=01CRU&amp;lang=en_US&amp;offset=0&amp;query=any,contains,991000913409702656","Catalog Record")</f>
        <v/>
      </c>
      <c r="AT476">
        <f>HYPERLINK("http://www.worldcat.org/oclc/4920247","WorldCat Record")</f>
        <v/>
      </c>
      <c r="AU476" t="inlineStr">
        <is>
          <t>1908973603:eng</t>
        </is>
      </c>
      <c r="AV476" t="inlineStr">
        <is>
          <t>4920247</t>
        </is>
      </c>
      <c r="AW476" t="inlineStr">
        <is>
          <t>991000913409702656</t>
        </is>
      </c>
      <c r="AX476" t="inlineStr">
        <is>
          <t>991000913409702656</t>
        </is>
      </c>
      <c r="AY476" t="inlineStr">
        <is>
          <t>2270391760002656</t>
        </is>
      </c>
      <c r="AZ476" t="inlineStr">
        <is>
          <t>BOOK</t>
        </is>
      </c>
      <c r="BC476" t="inlineStr">
        <is>
          <t>30001000178881</t>
        </is>
      </c>
      <c r="BD476" t="inlineStr">
        <is>
          <t>893161466</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