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270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T19 .G54 1969</t>
        </is>
      </c>
      <c r="C2" t="inlineStr">
        <is>
          <t>0                      T  0019000G  54          1969</t>
        </is>
      </c>
      <c r="D2" t="inlineStr">
        <is>
          <t>Mechanization takes command : a contribution to anonymous history / Siegfried Giedion.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Giedion, S. (Sigfried), 1888-1968.</t>
        </is>
      </c>
      <c r="L2" t="inlineStr">
        <is>
          <t>New York : Norton, 1969.</t>
        </is>
      </c>
      <c r="M2" t="inlineStr">
        <is>
          <t>1969</t>
        </is>
      </c>
      <c r="O2" t="inlineStr">
        <is>
          <t>eng</t>
        </is>
      </c>
      <c r="P2" t="inlineStr">
        <is>
          <t>nyu</t>
        </is>
      </c>
      <c r="Q2" t="inlineStr">
        <is>
          <t>The Norton Library</t>
        </is>
      </c>
      <c r="R2" t="inlineStr">
        <is>
          <t xml:space="preserve">T  </t>
        </is>
      </c>
      <c r="S2" t="n">
        <v>1</v>
      </c>
      <c r="T2" t="n">
        <v>1</v>
      </c>
      <c r="U2" t="inlineStr">
        <is>
          <t>2007-11-01</t>
        </is>
      </c>
      <c r="V2" t="inlineStr">
        <is>
          <t>2007-11-01</t>
        </is>
      </c>
      <c r="W2" t="inlineStr">
        <is>
          <t>2007-11-01</t>
        </is>
      </c>
      <c r="X2" t="inlineStr">
        <is>
          <t>2007-11-01</t>
        </is>
      </c>
      <c r="Y2" t="n">
        <v>266</v>
      </c>
      <c r="Z2" t="n">
        <v>237</v>
      </c>
      <c r="AA2" t="n">
        <v>1053</v>
      </c>
      <c r="AB2" t="n">
        <v>2</v>
      </c>
      <c r="AC2" t="n">
        <v>6</v>
      </c>
      <c r="AD2" t="n">
        <v>8</v>
      </c>
      <c r="AE2" t="n">
        <v>41</v>
      </c>
      <c r="AF2" t="n">
        <v>3</v>
      </c>
      <c r="AG2" t="n">
        <v>16</v>
      </c>
      <c r="AH2" t="n">
        <v>1</v>
      </c>
      <c r="AI2" t="n">
        <v>11</v>
      </c>
      <c r="AJ2" t="n">
        <v>6</v>
      </c>
      <c r="AK2" t="n">
        <v>21</v>
      </c>
      <c r="AL2" t="n">
        <v>0</v>
      </c>
      <c r="AM2" t="n">
        <v>4</v>
      </c>
      <c r="AN2" t="n">
        <v>0</v>
      </c>
      <c r="AO2" t="n">
        <v>0</v>
      </c>
      <c r="AP2" t="inlineStr">
        <is>
          <t>No</t>
        </is>
      </c>
      <c r="AQ2" t="inlineStr">
        <is>
          <t>No</t>
        </is>
      </c>
      <c r="AS2">
        <f>HYPERLINK("https://creighton-primo.hosted.exlibrisgroup.com/primo-explore/search?tab=default_tab&amp;search_scope=EVERYTHING&amp;vid=01CRU&amp;lang=en_US&amp;offset=0&amp;query=any,contains,991005131109702656","Catalog Record")</f>
        <v/>
      </c>
      <c r="AT2">
        <f>HYPERLINK("http://www.worldcat.org/oclc/2356796","WorldCat Record")</f>
        <v/>
      </c>
      <c r="AU2" t="inlineStr">
        <is>
          <t>15726741:eng</t>
        </is>
      </c>
      <c r="AV2" t="inlineStr">
        <is>
          <t>2356796</t>
        </is>
      </c>
      <c r="AW2" t="inlineStr">
        <is>
          <t>991005131109702656</t>
        </is>
      </c>
      <c r="AX2" t="inlineStr">
        <is>
          <t>991005131109702656</t>
        </is>
      </c>
      <c r="AY2" t="inlineStr">
        <is>
          <t>2268668370002656</t>
        </is>
      </c>
      <c r="AZ2" t="inlineStr">
        <is>
          <t>BOOK</t>
        </is>
      </c>
      <c r="BB2" t="inlineStr">
        <is>
          <t>9780393004892</t>
        </is>
      </c>
      <c r="BC2" t="inlineStr">
        <is>
          <t>32285005364111</t>
        </is>
      </c>
      <c r="BD2" t="inlineStr">
        <is>
          <t>893628564</t>
        </is>
      </c>
    </row>
    <row r="3">
      <c r="A3" t="inlineStr">
        <is>
          <t>No</t>
        </is>
      </c>
      <c r="B3" t="inlineStr">
        <is>
          <t>T23 .T4</t>
        </is>
      </c>
      <c r="C3" t="inlineStr">
        <is>
          <t>0                      T  0023000T  4</t>
        </is>
      </c>
      <c r="D3" t="inlineStr">
        <is>
          <t>Technology transfer and U.S. foreign policy / [edited by] Henry R. Nau.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L3" t="inlineStr">
        <is>
          <t>New York : Praeger, 1976.</t>
        </is>
      </c>
      <c r="M3" t="inlineStr">
        <is>
          <t>1976</t>
        </is>
      </c>
      <c r="O3" t="inlineStr">
        <is>
          <t>eng</t>
        </is>
      </c>
      <c r="P3" t="inlineStr">
        <is>
          <t>nyu</t>
        </is>
      </c>
      <c r="Q3" t="inlineStr">
        <is>
          <t>Praeger special studies in U.S. economic, social, and political issues</t>
        </is>
      </c>
      <c r="R3" t="inlineStr">
        <is>
          <t xml:space="preserve">T  </t>
        </is>
      </c>
      <c r="S3" t="n">
        <v>1</v>
      </c>
      <c r="T3" t="n">
        <v>1</v>
      </c>
      <c r="U3" t="inlineStr">
        <is>
          <t>2001-03-14</t>
        </is>
      </c>
      <c r="V3" t="inlineStr">
        <is>
          <t>2001-03-14</t>
        </is>
      </c>
      <c r="W3" t="inlineStr">
        <is>
          <t>1993-03-25</t>
        </is>
      </c>
      <c r="X3" t="inlineStr">
        <is>
          <t>1993-03-25</t>
        </is>
      </c>
      <c r="Y3" t="n">
        <v>275</v>
      </c>
      <c r="Z3" t="n">
        <v>222</v>
      </c>
      <c r="AA3" t="n">
        <v>223</v>
      </c>
      <c r="AB3" t="n">
        <v>2</v>
      </c>
      <c r="AC3" t="n">
        <v>2</v>
      </c>
      <c r="AD3" t="n">
        <v>8</v>
      </c>
      <c r="AE3" t="n">
        <v>8</v>
      </c>
      <c r="AF3" t="n">
        <v>1</v>
      </c>
      <c r="AG3" t="n">
        <v>1</v>
      </c>
      <c r="AH3" t="n">
        <v>2</v>
      </c>
      <c r="AI3" t="n">
        <v>2</v>
      </c>
      <c r="AJ3" t="n">
        <v>6</v>
      </c>
      <c r="AK3" t="n">
        <v>6</v>
      </c>
      <c r="AL3" t="n">
        <v>1</v>
      </c>
      <c r="AM3" t="n">
        <v>1</v>
      </c>
      <c r="AN3" t="n">
        <v>0</v>
      </c>
      <c r="AO3" t="n">
        <v>0</v>
      </c>
      <c r="AP3" t="inlineStr">
        <is>
          <t>No</t>
        </is>
      </c>
      <c r="AQ3" t="inlineStr">
        <is>
          <t>Yes</t>
        </is>
      </c>
      <c r="AR3">
        <f>HYPERLINK("http://catalog.hathitrust.org/Record/000690853","HathiTrust Record")</f>
        <v/>
      </c>
      <c r="AS3">
        <f>HYPERLINK("https://creighton-primo.hosted.exlibrisgroup.com/primo-explore/search?tab=default_tab&amp;search_scope=EVERYTHING&amp;vid=01CRU&amp;lang=en_US&amp;offset=0&amp;query=any,contains,991004051249702656","Catalog Record")</f>
        <v/>
      </c>
      <c r="AT3">
        <f>HYPERLINK("http://www.worldcat.org/oclc/2213101","WorldCat Record")</f>
        <v/>
      </c>
      <c r="AU3" t="inlineStr">
        <is>
          <t>3988685:eng</t>
        </is>
      </c>
      <c r="AV3" t="inlineStr">
        <is>
          <t>2213101</t>
        </is>
      </c>
      <c r="AW3" t="inlineStr">
        <is>
          <t>991004051249702656</t>
        </is>
      </c>
      <c r="AX3" t="inlineStr">
        <is>
          <t>991004051249702656</t>
        </is>
      </c>
      <c r="AY3" t="inlineStr">
        <is>
          <t>2256115200002656</t>
        </is>
      </c>
      <c r="AZ3" t="inlineStr">
        <is>
          <t>BOOK</t>
        </is>
      </c>
      <c r="BB3" t="inlineStr">
        <is>
          <t>9780275567903</t>
        </is>
      </c>
      <c r="BC3" t="inlineStr">
        <is>
          <t>32285001568079</t>
        </is>
      </c>
      <c r="BD3" t="inlineStr">
        <is>
          <t>893693449</t>
        </is>
      </c>
    </row>
    <row r="4">
      <c r="A4" t="inlineStr">
        <is>
          <t>No</t>
        </is>
      </c>
      <c r="B4" t="inlineStr">
        <is>
          <t>T49.5 .S575 1989</t>
        </is>
      </c>
      <c r="C4" t="inlineStr">
        <is>
          <t>0                      T  0049500S  575         1989</t>
        </is>
      </c>
      <c r="D4" t="inlineStr">
        <is>
          <t>Buckminster Fuller's universe : an appreciation / Lloyd Steven Sieden ; foreword by Norman Cousins.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Sieden, Lloyd Steven.</t>
        </is>
      </c>
      <c r="L4" t="inlineStr">
        <is>
          <t>New York : Plenum Press, c1989.</t>
        </is>
      </c>
      <c r="M4" t="inlineStr">
        <is>
          <t>1989</t>
        </is>
      </c>
      <c r="O4" t="inlineStr">
        <is>
          <t>eng</t>
        </is>
      </c>
      <c r="P4" t="inlineStr">
        <is>
          <t>nyu</t>
        </is>
      </c>
      <c r="R4" t="inlineStr">
        <is>
          <t xml:space="preserve">T  </t>
        </is>
      </c>
      <c r="S4" t="n">
        <v>1</v>
      </c>
      <c r="T4" t="n">
        <v>1</v>
      </c>
      <c r="U4" t="inlineStr">
        <is>
          <t>1995-04-19</t>
        </is>
      </c>
      <c r="V4" t="inlineStr">
        <is>
          <t>1995-04-19</t>
        </is>
      </c>
      <c r="W4" t="inlineStr">
        <is>
          <t>1992-11-30</t>
        </is>
      </c>
      <c r="X4" t="inlineStr">
        <is>
          <t>1992-11-30</t>
        </is>
      </c>
      <c r="Y4" t="n">
        <v>667</v>
      </c>
      <c r="Z4" t="n">
        <v>587</v>
      </c>
      <c r="AA4" t="n">
        <v>705</v>
      </c>
      <c r="AB4" t="n">
        <v>4</v>
      </c>
      <c r="AC4" t="n">
        <v>6</v>
      </c>
      <c r="AD4" t="n">
        <v>24</v>
      </c>
      <c r="AE4" t="n">
        <v>26</v>
      </c>
      <c r="AF4" t="n">
        <v>10</v>
      </c>
      <c r="AG4" t="n">
        <v>10</v>
      </c>
      <c r="AH4" t="n">
        <v>6</v>
      </c>
      <c r="AI4" t="n">
        <v>8</v>
      </c>
      <c r="AJ4" t="n">
        <v>13</v>
      </c>
      <c r="AK4" t="n">
        <v>13</v>
      </c>
      <c r="AL4" t="n">
        <v>2</v>
      </c>
      <c r="AM4" t="n">
        <v>2</v>
      </c>
      <c r="AN4" t="n">
        <v>0</v>
      </c>
      <c r="AO4" t="n">
        <v>0</v>
      </c>
      <c r="AP4" t="inlineStr">
        <is>
          <t>No</t>
        </is>
      </c>
      <c r="AQ4" t="inlineStr">
        <is>
          <t>Yes</t>
        </is>
      </c>
      <c r="AR4">
        <f>HYPERLINK("http://catalog.hathitrust.org/Record/004432587","HathiTrust Record")</f>
        <v/>
      </c>
      <c r="AS4">
        <f>HYPERLINK("https://creighton-primo.hosted.exlibrisgroup.com/primo-explore/search?tab=default_tab&amp;search_scope=EVERYTHING&amp;vid=01CRU&amp;lang=en_US&amp;offset=0&amp;query=any,contains,991001420149702656","Catalog Record")</f>
        <v/>
      </c>
      <c r="AT4">
        <f>HYPERLINK("http://www.worldcat.org/oclc/18963281","WorldCat Record")</f>
        <v/>
      </c>
      <c r="AU4" t="inlineStr">
        <is>
          <t>836797557:eng</t>
        </is>
      </c>
      <c r="AV4" t="inlineStr">
        <is>
          <t>18963281</t>
        </is>
      </c>
      <c r="AW4" t="inlineStr">
        <is>
          <t>991001420149702656</t>
        </is>
      </c>
      <c r="AX4" t="inlineStr">
        <is>
          <t>991001420149702656</t>
        </is>
      </c>
      <c r="AY4" t="inlineStr">
        <is>
          <t>2263185770002656</t>
        </is>
      </c>
      <c r="AZ4" t="inlineStr">
        <is>
          <t>BOOK</t>
        </is>
      </c>
      <c r="BB4" t="inlineStr">
        <is>
          <t>9780306431784</t>
        </is>
      </c>
      <c r="BC4" t="inlineStr">
        <is>
          <t>32285001409894</t>
        </is>
      </c>
      <c r="BD4" t="inlineStr">
        <is>
          <t>893703024</t>
        </is>
      </c>
    </row>
    <row r="5">
      <c r="A5" t="inlineStr">
        <is>
          <t>No</t>
        </is>
      </c>
      <c r="B5" t="inlineStr">
        <is>
          <t>T57.6 .H49 1982</t>
        </is>
      </c>
      <c r="C5" t="inlineStr">
        <is>
          <t>0                      T  0057600H  49          1982</t>
        </is>
      </c>
      <c r="D5" t="inlineStr">
        <is>
          <t>Stochastic models in operations research / Daniel P. Heyman, Matthew J. Sobel.</t>
        </is>
      </c>
      <c r="E5" t="inlineStr">
        <is>
          <t>V.2</t>
        </is>
      </c>
      <c r="F5" t="inlineStr">
        <is>
          <t>Yes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Heyman, Daniel P.</t>
        </is>
      </c>
      <c r="L5" t="inlineStr">
        <is>
          <t>New York : McGraw-Hill, c1982-c1984.</t>
        </is>
      </c>
      <c r="M5" t="inlineStr">
        <is>
          <t>1982</t>
        </is>
      </c>
      <c r="O5" t="inlineStr">
        <is>
          <t>eng</t>
        </is>
      </c>
      <c r="P5" t="inlineStr">
        <is>
          <t>nyu</t>
        </is>
      </c>
      <c r="Q5" t="inlineStr">
        <is>
          <t>McGraw-Hill series in quantitative methods for management</t>
        </is>
      </c>
      <c r="R5" t="inlineStr">
        <is>
          <t xml:space="preserve">T  </t>
        </is>
      </c>
      <c r="S5" t="n">
        <v>0</v>
      </c>
      <c r="T5" t="n">
        <v>0</v>
      </c>
      <c r="V5" t="inlineStr">
        <is>
          <t>2007-08-22</t>
        </is>
      </c>
      <c r="W5" t="inlineStr">
        <is>
          <t>1993-03-25</t>
        </is>
      </c>
      <c r="X5" t="inlineStr">
        <is>
          <t>1993-03-25</t>
        </is>
      </c>
      <c r="Y5" t="n">
        <v>338</v>
      </c>
      <c r="Z5" t="n">
        <v>258</v>
      </c>
      <c r="AA5" t="n">
        <v>267</v>
      </c>
      <c r="AB5" t="n">
        <v>2</v>
      </c>
      <c r="AC5" t="n">
        <v>2</v>
      </c>
      <c r="AD5" t="n">
        <v>13</v>
      </c>
      <c r="AE5" t="n">
        <v>13</v>
      </c>
      <c r="AF5" t="n">
        <v>5</v>
      </c>
      <c r="AG5" t="n">
        <v>5</v>
      </c>
      <c r="AH5" t="n">
        <v>4</v>
      </c>
      <c r="AI5" t="n">
        <v>4</v>
      </c>
      <c r="AJ5" t="n">
        <v>8</v>
      </c>
      <c r="AK5" t="n">
        <v>8</v>
      </c>
      <c r="AL5" t="n">
        <v>1</v>
      </c>
      <c r="AM5" t="n">
        <v>1</v>
      </c>
      <c r="AN5" t="n">
        <v>0</v>
      </c>
      <c r="AO5" t="n">
        <v>0</v>
      </c>
      <c r="AP5" t="inlineStr">
        <is>
          <t>No</t>
        </is>
      </c>
      <c r="AQ5" t="inlineStr">
        <is>
          <t>Yes</t>
        </is>
      </c>
      <c r="AR5">
        <f>HYPERLINK("http://catalog.hathitrust.org/Record/000150019","HathiTrust Record")</f>
        <v/>
      </c>
      <c r="AS5">
        <f>HYPERLINK("https://creighton-primo.hosted.exlibrisgroup.com/primo-explore/search?tab=default_tab&amp;search_scope=EVERYTHING&amp;vid=01CRU&amp;lang=en_US&amp;offset=0&amp;query=any,contains,991005163579702656","Catalog Record")</f>
        <v/>
      </c>
      <c r="AT5">
        <f>HYPERLINK("http://www.worldcat.org/oclc/7811659","WorldCat Record")</f>
        <v/>
      </c>
      <c r="AU5" t="inlineStr">
        <is>
          <t>405466:eng</t>
        </is>
      </c>
      <c r="AV5" t="inlineStr">
        <is>
          <t>7811659</t>
        </is>
      </c>
      <c r="AW5" t="inlineStr">
        <is>
          <t>991005163579702656</t>
        </is>
      </c>
      <c r="AX5" t="inlineStr">
        <is>
          <t>991005163579702656</t>
        </is>
      </c>
      <c r="AY5" t="inlineStr">
        <is>
          <t>2256645180002656</t>
        </is>
      </c>
      <c r="AZ5" t="inlineStr">
        <is>
          <t>BOOK</t>
        </is>
      </c>
      <c r="BB5" t="inlineStr">
        <is>
          <t>9780070286313</t>
        </is>
      </c>
      <c r="BC5" t="inlineStr">
        <is>
          <t>32285001568350</t>
        </is>
      </c>
      <c r="BD5" t="inlineStr">
        <is>
          <t>893320138</t>
        </is>
      </c>
    </row>
    <row r="6">
      <c r="A6" t="inlineStr">
        <is>
          <t>No</t>
        </is>
      </c>
      <c r="B6" t="inlineStr">
        <is>
          <t>T57.6 .H49 1982</t>
        </is>
      </c>
      <c r="C6" t="inlineStr">
        <is>
          <t>0                      T  0057600H  49          1982</t>
        </is>
      </c>
      <c r="D6" t="inlineStr">
        <is>
          <t>Stochastic models in operations research / Daniel P. Heyman, Matthew J. Sobel.</t>
        </is>
      </c>
      <c r="E6" t="inlineStr">
        <is>
          <t>V.1</t>
        </is>
      </c>
      <c r="F6" t="inlineStr">
        <is>
          <t>Yes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Heyman, Daniel P.</t>
        </is>
      </c>
      <c r="L6" t="inlineStr">
        <is>
          <t>New York : McGraw-Hill, c1982-c1984.</t>
        </is>
      </c>
      <c r="M6" t="inlineStr">
        <is>
          <t>1982</t>
        </is>
      </c>
      <c r="O6" t="inlineStr">
        <is>
          <t>eng</t>
        </is>
      </c>
      <c r="P6" t="inlineStr">
        <is>
          <t>nyu</t>
        </is>
      </c>
      <c r="Q6" t="inlineStr">
        <is>
          <t>McGraw-Hill series in quantitative methods for management</t>
        </is>
      </c>
      <c r="R6" t="inlineStr">
        <is>
          <t xml:space="preserve">T  </t>
        </is>
      </c>
      <c r="S6" t="n">
        <v>0</v>
      </c>
      <c r="T6" t="n">
        <v>0</v>
      </c>
      <c r="U6" t="inlineStr">
        <is>
          <t>2007-08-22</t>
        </is>
      </c>
      <c r="V6" t="inlineStr">
        <is>
          <t>2007-08-22</t>
        </is>
      </c>
      <c r="W6" t="inlineStr">
        <is>
          <t>1993-03-25</t>
        </is>
      </c>
      <c r="X6" t="inlineStr">
        <is>
          <t>1993-03-25</t>
        </is>
      </c>
      <c r="Y6" t="n">
        <v>338</v>
      </c>
      <c r="Z6" t="n">
        <v>258</v>
      </c>
      <c r="AA6" t="n">
        <v>267</v>
      </c>
      <c r="AB6" t="n">
        <v>2</v>
      </c>
      <c r="AC6" t="n">
        <v>2</v>
      </c>
      <c r="AD6" t="n">
        <v>13</v>
      </c>
      <c r="AE6" t="n">
        <v>13</v>
      </c>
      <c r="AF6" t="n">
        <v>5</v>
      </c>
      <c r="AG6" t="n">
        <v>5</v>
      </c>
      <c r="AH6" t="n">
        <v>4</v>
      </c>
      <c r="AI6" t="n">
        <v>4</v>
      </c>
      <c r="AJ6" t="n">
        <v>8</v>
      </c>
      <c r="AK6" t="n">
        <v>8</v>
      </c>
      <c r="AL6" t="n">
        <v>1</v>
      </c>
      <c r="AM6" t="n">
        <v>1</v>
      </c>
      <c r="AN6" t="n">
        <v>0</v>
      </c>
      <c r="AO6" t="n">
        <v>0</v>
      </c>
      <c r="AP6" t="inlineStr">
        <is>
          <t>No</t>
        </is>
      </c>
      <c r="AQ6" t="inlineStr">
        <is>
          <t>Yes</t>
        </is>
      </c>
      <c r="AR6">
        <f>HYPERLINK("http://catalog.hathitrust.org/Record/000150019","HathiTrust Record")</f>
        <v/>
      </c>
      <c r="AS6">
        <f>HYPERLINK("https://creighton-primo.hosted.exlibrisgroup.com/primo-explore/search?tab=default_tab&amp;search_scope=EVERYTHING&amp;vid=01CRU&amp;lang=en_US&amp;offset=0&amp;query=any,contains,991005163579702656","Catalog Record")</f>
        <v/>
      </c>
      <c r="AT6">
        <f>HYPERLINK("http://www.worldcat.org/oclc/7811659","WorldCat Record")</f>
        <v/>
      </c>
      <c r="AU6" t="inlineStr">
        <is>
          <t>405466:eng</t>
        </is>
      </c>
      <c r="AV6" t="inlineStr">
        <is>
          <t>7811659</t>
        </is>
      </c>
      <c r="AW6" t="inlineStr">
        <is>
          <t>991005163579702656</t>
        </is>
      </c>
      <c r="AX6" t="inlineStr">
        <is>
          <t>991005163579702656</t>
        </is>
      </c>
      <c r="AY6" t="inlineStr">
        <is>
          <t>2256645180002656</t>
        </is>
      </c>
      <c r="AZ6" t="inlineStr">
        <is>
          <t>BOOK</t>
        </is>
      </c>
      <c r="BB6" t="inlineStr">
        <is>
          <t>9780070286313</t>
        </is>
      </c>
      <c r="BC6" t="inlineStr">
        <is>
          <t>32285001568343</t>
        </is>
      </c>
      <c r="BD6" t="inlineStr">
        <is>
          <t>893350841</t>
        </is>
      </c>
    </row>
    <row r="7">
      <c r="A7" t="inlineStr">
        <is>
          <t>No</t>
        </is>
      </c>
      <c r="B7" t="inlineStr">
        <is>
          <t>T57.6 .T3 1971</t>
        </is>
      </c>
      <c r="C7" t="inlineStr">
        <is>
          <t>0                      T  0057600T  3           1971</t>
        </is>
      </c>
      <c r="D7" t="inlineStr">
        <is>
          <t>Operations research : an introduction / [by] Hamdy A. Taha.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Taha, Hamdy A.</t>
        </is>
      </c>
      <c r="L7" t="inlineStr">
        <is>
          <t>New York : Macmillan, [1971]</t>
        </is>
      </c>
      <c r="M7" t="inlineStr">
        <is>
          <t>1971</t>
        </is>
      </c>
      <c r="O7" t="inlineStr">
        <is>
          <t>eng</t>
        </is>
      </c>
      <c r="P7" t="inlineStr">
        <is>
          <t>nyu</t>
        </is>
      </c>
      <c r="R7" t="inlineStr">
        <is>
          <t xml:space="preserve">T  </t>
        </is>
      </c>
      <c r="S7" t="n">
        <v>1</v>
      </c>
      <c r="T7" t="n">
        <v>1</v>
      </c>
      <c r="U7" t="inlineStr">
        <is>
          <t>1992-04-23</t>
        </is>
      </c>
      <c r="V7" t="inlineStr">
        <is>
          <t>1992-04-23</t>
        </is>
      </c>
      <c r="W7" t="inlineStr">
        <is>
          <t>1990-10-22</t>
        </is>
      </c>
      <c r="X7" t="inlineStr">
        <is>
          <t>1990-10-22</t>
        </is>
      </c>
      <c r="Y7" t="n">
        <v>234</v>
      </c>
      <c r="Z7" t="n">
        <v>183</v>
      </c>
      <c r="AA7" t="n">
        <v>186</v>
      </c>
      <c r="AB7" t="n">
        <v>1</v>
      </c>
      <c r="AC7" t="n">
        <v>1</v>
      </c>
      <c r="AD7" t="n">
        <v>4</v>
      </c>
      <c r="AE7" t="n">
        <v>4</v>
      </c>
      <c r="AF7" t="n">
        <v>3</v>
      </c>
      <c r="AG7" t="n">
        <v>3</v>
      </c>
      <c r="AH7" t="n">
        <v>0</v>
      </c>
      <c r="AI7" t="n">
        <v>0</v>
      </c>
      <c r="AJ7" t="n">
        <v>2</v>
      </c>
      <c r="AK7" t="n">
        <v>2</v>
      </c>
      <c r="AL7" t="n">
        <v>0</v>
      </c>
      <c r="AM7" t="n">
        <v>0</v>
      </c>
      <c r="AN7" t="n">
        <v>1</v>
      </c>
      <c r="AO7" t="n">
        <v>1</v>
      </c>
      <c r="AP7" t="inlineStr">
        <is>
          <t>No</t>
        </is>
      </c>
      <c r="AQ7" t="inlineStr">
        <is>
          <t>Yes</t>
        </is>
      </c>
      <c r="AR7">
        <f>HYPERLINK("http://catalog.hathitrust.org/Record/001510532","HathiTrust Record")</f>
        <v/>
      </c>
      <c r="AS7">
        <f>HYPERLINK("https://creighton-primo.hosted.exlibrisgroup.com/primo-explore/search?tab=default_tab&amp;search_scope=EVERYTHING&amp;vid=01CRU&amp;lang=en_US&amp;offset=0&amp;query=any,contains,991000725979702656","Catalog Record")</f>
        <v/>
      </c>
      <c r="AT7">
        <f>HYPERLINK("http://www.worldcat.org/oclc/127813","WorldCat Record")</f>
        <v/>
      </c>
      <c r="AU7" t="inlineStr">
        <is>
          <t>2908839126:eng</t>
        </is>
      </c>
      <c r="AV7" t="inlineStr">
        <is>
          <t>127813</t>
        </is>
      </c>
      <c r="AW7" t="inlineStr">
        <is>
          <t>991000725979702656</t>
        </is>
      </c>
      <c r="AX7" t="inlineStr">
        <is>
          <t>991000725979702656</t>
        </is>
      </c>
      <c r="AY7" t="inlineStr">
        <is>
          <t>2261461340002656</t>
        </is>
      </c>
      <c r="AZ7" t="inlineStr">
        <is>
          <t>BOOK</t>
        </is>
      </c>
      <c r="BC7" t="inlineStr">
        <is>
          <t>32285000351592</t>
        </is>
      </c>
      <c r="BD7" t="inlineStr">
        <is>
          <t>893432240</t>
        </is>
      </c>
    </row>
    <row r="8">
      <c r="A8" t="inlineStr">
        <is>
          <t>No</t>
        </is>
      </c>
      <c r="B8" t="inlineStr">
        <is>
          <t>T57.74 .C54 1983</t>
        </is>
      </c>
      <c r="C8" t="inlineStr">
        <is>
          <t>0                      T  0057740C  54          1983</t>
        </is>
      </c>
      <c r="D8" t="inlineStr">
        <is>
          <t>Linear programming / Vašek Chvátal.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Chvátal, Vašek, 1946-</t>
        </is>
      </c>
      <c r="L8" t="inlineStr">
        <is>
          <t>New York : W.H. Freeman, c1983.</t>
        </is>
      </c>
      <c r="M8" t="inlineStr">
        <is>
          <t>1983</t>
        </is>
      </c>
      <c r="O8" t="inlineStr">
        <is>
          <t>eng</t>
        </is>
      </c>
      <c r="P8" t="inlineStr">
        <is>
          <t>nyu</t>
        </is>
      </c>
      <c r="Q8" t="inlineStr">
        <is>
          <t>A Series of books in the mathematical sciences</t>
        </is>
      </c>
      <c r="R8" t="inlineStr">
        <is>
          <t xml:space="preserve">T  </t>
        </is>
      </c>
      <c r="S8" t="n">
        <v>1</v>
      </c>
      <c r="T8" t="n">
        <v>1</v>
      </c>
      <c r="U8" t="inlineStr">
        <is>
          <t>1992-11-16</t>
        </is>
      </c>
      <c r="V8" t="inlineStr">
        <is>
          <t>1992-11-16</t>
        </is>
      </c>
      <c r="W8" t="inlineStr">
        <is>
          <t>1990-08-16</t>
        </is>
      </c>
      <c r="X8" t="inlineStr">
        <is>
          <t>1990-08-16</t>
        </is>
      </c>
      <c r="Y8" t="n">
        <v>664</v>
      </c>
      <c r="Z8" t="n">
        <v>452</v>
      </c>
      <c r="AA8" t="n">
        <v>459</v>
      </c>
      <c r="AB8" t="n">
        <v>2</v>
      </c>
      <c r="AC8" t="n">
        <v>2</v>
      </c>
      <c r="AD8" t="n">
        <v>16</v>
      </c>
      <c r="AE8" t="n">
        <v>16</v>
      </c>
      <c r="AF8" t="n">
        <v>8</v>
      </c>
      <c r="AG8" t="n">
        <v>8</v>
      </c>
      <c r="AH8" t="n">
        <v>4</v>
      </c>
      <c r="AI8" t="n">
        <v>4</v>
      </c>
      <c r="AJ8" t="n">
        <v>8</v>
      </c>
      <c r="AK8" t="n">
        <v>8</v>
      </c>
      <c r="AL8" t="n">
        <v>1</v>
      </c>
      <c r="AM8" t="n">
        <v>1</v>
      </c>
      <c r="AN8" t="n">
        <v>0</v>
      </c>
      <c r="AO8" t="n">
        <v>0</v>
      </c>
      <c r="AP8" t="inlineStr">
        <is>
          <t>No</t>
        </is>
      </c>
      <c r="AQ8" t="inlineStr">
        <is>
          <t>No</t>
        </is>
      </c>
      <c r="AS8">
        <f>HYPERLINK("https://creighton-primo.hosted.exlibrisgroup.com/primo-explore/search?tab=default_tab&amp;search_scope=EVERYTHING&amp;vid=01CRU&amp;lang=en_US&amp;offset=0&amp;query=any,contains,991000123429702656","Catalog Record")</f>
        <v/>
      </c>
      <c r="AT8">
        <f>HYPERLINK("http://www.worldcat.org/oclc/9081664","WorldCat Record")</f>
        <v/>
      </c>
      <c r="AU8" t="inlineStr">
        <is>
          <t>2705402:eng</t>
        </is>
      </c>
      <c r="AV8" t="inlineStr">
        <is>
          <t>9081664</t>
        </is>
      </c>
      <c r="AW8" t="inlineStr">
        <is>
          <t>991000123429702656</t>
        </is>
      </c>
      <c r="AX8" t="inlineStr">
        <is>
          <t>991000123429702656</t>
        </is>
      </c>
      <c r="AY8" t="inlineStr">
        <is>
          <t>2256000530002656</t>
        </is>
      </c>
      <c r="AZ8" t="inlineStr">
        <is>
          <t>BOOK</t>
        </is>
      </c>
      <c r="BB8" t="inlineStr">
        <is>
          <t>9780716715870</t>
        </is>
      </c>
      <c r="BC8" t="inlineStr">
        <is>
          <t>32285000290444</t>
        </is>
      </c>
      <c r="BD8" t="inlineStr">
        <is>
          <t>893802517</t>
        </is>
      </c>
    </row>
    <row r="9">
      <c r="A9" t="inlineStr">
        <is>
          <t>No</t>
        </is>
      </c>
      <c r="B9" t="inlineStr">
        <is>
          <t>T58 .G65</t>
        </is>
      </c>
      <c r="C9" t="inlineStr">
        <is>
          <t>0                      T  0058000G  65</t>
        </is>
      </c>
      <c r="D9" t="inlineStr">
        <is>
          <t>The psychology of management : the function of the mind in determining, teaching and installing methods of least waste / by L.M. Gilbreth.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Gilbreth, Lillian Moller, 1878-1972.</t>
        </is>
      </c>
      <c r="L9" t="inlineStr">
        <is>
          <t>New York : Macmillan, 1914.</t>
        </is>
      </c>
      <c r="M9" t="inlineStr">
        <is>
          <t>1914</t>
        </is>
      </c>
      <c r="O9" t="inlineStr">
        <is>
          <t>eng</t>
        </is>
      </c>
      <c r="P9" t="inlineStr">
        <is>
          <t>nyu</t>
        </is>
      </c>
      <c r="R9" t="inlineStr">
        <is>
          <t xml:space="preserve">T  </t>
        </is>
      </c>
      <c r="S9" t="n">
        <v>1</v>
      </c>
      <c r="T9" t="n">
        <v>1</v>
      </c>
      <c r="U9" t="inlineStr">
        <is>
          <t>1999-06-22</t>
        </is>
      </c>
      <c r="V9" t="inlineStr">
        <is>
          <t>1999-06-22</t>
        </is>
      </c>
      <c r="W9" t="inlineStr">
        <is>
          <t>1993-04-20</t>
        </is>
      </c>
      <c r="X9" t="inlineStr">
        <is>
          <t>1993-04-20</t>
        </is>
      </c>
      <c r="Y9" t="n">
        <v>11</v>
      </c>
      <c r="Z9" t="n">
        <v>7</v>
      </c>
      <c r="AA9" t="n">
        <v>374</v>
      </c>
      <c r="AB9" t="n">
        <v>1</v>
      </c>
      <c r="AC9" t="n">
        <v>2</v>
      </c>
      <c r="AD9" t="n">
        <v>0</v>
      </c>
      <c r="AE9" t="n">
        <v>13</v>
      </c>
      <c r="AF9" t="n">
        <v>0</v>
      </c>
      <c r="AG9" t="n">
        <v>5</v>
      </c>
      <c r="AH9" t="n">
        <v>0</v>
      </c>
      <c r="AI9" t="n">
        <v>1</v>
      </c>
      <c r="AJ9" t="n">
        <v>0</v>
      </c>
      <c r="AK9" t="n">
        <v>8</v>
      </c>
      <c r="AL9" t="n">
        <v>0</v>
      </c>
      <c r="AM9" t="n">
        <v>1</v>
      </c>
      <c r="AN9" t="n">
        <v>0</v>
      </c>
      <c r="AO9" t="n">
        <v>0</v>
      </c>
      <c r="AP9" t="inlineStr">
        <is>
          <t>Yes</t>
        </is>
      </c>
      <c r="AQ9" t="inlineStr">
        <is>
          <t>No</t>
        </is>
      </c>
      <c r="AR9">
        <f>HYPERLINK("http://catalog.hathitrust.org/Record/009537747","HathiTrust Record")</f>
        <v/>
      </c>
      <c r="AS9">
        <f>HYPERLINK("https://creighton-primo.hosted.exlibrisgroup.com/primo-explore/search?tab=default_tab&amp;search_scope=EVERYTHING&amp;vid=01CRU&amp;lang=en_US&amp;offset=0&amp;query=any,contains,991001133689702656","Catalog Record")</f>
        <v/>
      </c>
      <c r="AT9">
        <f>HYPERLINK("http://www.worldcat.org/oclc/16688134","WorldCat Record")</f>
        <v/>
      </c>
      <c r="AU9" t="inlineStr">
        <is>
          <t>1682569:eng</t>
        </is>
      </c>
      <c r="AV9" t="inlineStr">
        <is>
          <t>16688134</t>
        </is>
      </c>
      <c r="AW9" t="inlineStr">
        <is>
          <t>991001133689702656</t>
        </is>
      </c>
      <c r="AX9" t="inlineStr">
        <is>
          <t>991001133689702656</t>
        </is>
      </c>
      <c r="AY9" t="inlineStr">
        <is>
          <t>2270801870002656</t>
        </is>
      </c>
      <c r="AZ9" t="inlineStr">
        <is>
          <t>BOOK</t>
        </is>
      </c>
      <c r="BC9" t="inlineStr">
        <is>
          <t>32285001621548</t>
        </is>
      </c>
      <c r="BD9" t="inlineStr">
        <is>
          <t>893778584</t>
        </is>
      </c>
    </row>
    <row r="10">
      <c r="A10" t="inlineStr">
        <is>
          <t>No</t>
        </is>
      </c>
      <c r="B10" t="inlineStr">
        <is>
          <t>T58.6 .K7</t>
        </is>
      </c>
      <c r="C10" t="inlineStr">
        <is>
          <t>0                      T  0058600K  7</t>
        </is>
      </c>
      <c r="D10" t="inlineStr">
        <is>
          <t>Computer-based management information systems [by] Leonard I. Krauss.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K10" t="inlineStr">
        <is>
          <t>Krauss, Leonard I.</t>
        </is>
      </c>
      <c r="L10" t="inlineStr">
        <is>
          <t>[New York] American Management Association [1970]</t>
        </is>
      </c>
      <c r="M10" t="inlineStr">
        <is>
          <t>1970</t>
        </is>
      </c>
      <c r="O10" t="inlineStr">
        <is>
          <t>eng</t>
        </is>
      </c>
      <c r="P10" t="inlineStr">
        <is>
          <t>nyu</t>
        </is>
      </c>
      <c r="R10" t="inlineStr">
        <is>
          <t xml:space="preserve">T  </t>
        </is>
      </c>
      <c r="S10" t="n">
        <v>1</v>
      </c>
      <c r="T10" t="n">
        <v>1</v>
      </c>
      <c r="U10" t="inlineStr">
        <is>
          <t>1998-07-16</t>
        </is>
      </c>
      <c r="V10" t="inlineStr">
        <is>
          <t>1998-07-16</t>
        </is>
      </c>
      <c r="W10" t="inlineStr">
        <is>
          <t>1997-08-13</t>
        </is>
      </c>
      <c r="X10" t="inlineStr">
        <is>
          <t>1997-08-13</t>
        </is>
      </c>
      <c r="Y10" t="n">
        <v>362</v>
      </c>
      <c r="Z10" t="n">
        <v>301</v>
      </c>
      <c r="AA10" t="n">
        <v>307</v>
      </c>
      <c r="AB10" t="n">
        <v>4</v>
      </c>
      <c r="AC10" t="n">
        <v>4</v>
      </c>
      <c r="AD10" t="n">
        <v>13</v>
      </c>
      <c r="AE10" t="n">
        <v>13</v>
      </c>
      <c r="AF10" t="n">
        <v>5</v>
      </c>
      <c r="AG10" t="n">
        <v>5</v>
      </c>
      <c r="AH10" t="n">
        <v>0</v>
      </c>
      <c r="AI10" t="n">
        <v>0</v>
      </c>
      <c r="AJ10" t="n">
        <v>7</v>
      </c>
      <c r="AK10" t="n">
        <v>7</v>
      </c>
      <c r="AL10" t="n">
        <v>3</v>
      </c>
      <c r="AM10" t="n">
        <v>3</v>
      </c>
      <c r="AN10" t="n">
        <v>0</v>
      </c>
      <c r="AO10" t="n">
        <v>0</v>
      </c>
      <c r="AP10" t="inlineStr">
        <is>
          <t>No</t>
        </is>
      </c>
      <c r="AQ10" t="inlineStr">
        <is>
          <t>Yes</t>
        </is>
      </c>
      <c r="AR10">
        <f>HYPERLINK("http://catalog.hathitrust.org/Record/000033455","HathiTrust Record")</f>
        <v/>
      </c>
      <c r="AS10">
        <f>HYPERLINK("https://creighton-primo.hosted.exlibrisgroup.com/primo-explore/search?tab=default_tab&amp;search_scope=EVERYTHING&amp;vid=01CRU&amp;lang=en_US&amp;offset=0&amp;query=any,contains,991000610549702656","Catalog Record")</f>
        <v/>
      </c>
      <c r="AT10">
        <f>HYPERLINK("http://www.worldcat.org/oclc/100408","WorldCat Record")</f>
        <v/>
      </c>
      <c r="AU10" t="inlineStr">
        <is>
          <t>1167777:eng</t>
        </is>
      </c>
      <c r="AV10" t="inlineStr">
        <is>
          <t>100408</t>
        </is>
      </c>
      <c r="AW10" t="inlineStr">
        <is>
          <t>991000610549702656</t>
        </is>
      </c>
      <c r="AX10" t="inlineStr">
        <is>
          <t>991000610549702656</t>
        </is>
      </c>
      <c r="AY10" t="inlineStr">
        <is>
          <t>2258364830002656</t>
        </is>
      </c>
      <c r="AZ10" t="inlineStr">
        <is>
          <t>BOOK</t>
        </is>
      </c>
      <c r="BB10" t="inlineStr">
        <is>
          <t>9780814452233</t>
        </is>
      </c>
      <c r="BC10" t="inlineStr">
        <is>
          <t>32285003108700</t>
        </is>
      </c>
      <c r="BD10" t="inlineStr">
        <is>
          <t>893255564</t>
        </is>
      </c>
    </row>
    <row r="11">
      <c r="A11" t="inlineStr">
        <is>
          <t>No</t>
        </is>
      </c>
      <c r="B11" t="inlineStr">
        <is>
          <t>TA1660 .L37 v...</t>
        </is>
      </c>
      <c r="C11" t="inlineStr">
        <is>
          <t>0                      TA 1660000L  37                                                      v...</t>
        </is>
      </c>
      <c r="D11" t="inlineStr">
        <is>
          <t>Laser applications / edited by Monte Ross. Contributors: Frederick Aronowitz [and others]</t>
        </is>
      </c>
      <c r="E11" t="inlineStr">
        <is>
          <t>V.1</t>
        </is>
      </c>
      <c r="F11" t="inlineStr">
        <is>
          <t>Yes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L11" t="inlineStr">
        <is>
          <t>New York : Academic Press, 1971-</t>
        </is>
      </c>
      <c r="M11" t="inlineStr">
        <is>
          <t>1971</t>
        </is>
      </c>
      <c r="O11" t="inlineStr">
        <is>
          <t>eng</t>
        </is>
      </c>
      <c r="P11" t="inlineStr">
        <is>
          <t>nyu</t>
        </is>
      </c>
      <c r="R11" t="inlineStr">
        <is>
          <t xml:space="preserve">TA </t>
        </is>
      </c>
      <c r="S11" t="n">
        <v>1</v>
      </c>
      <c r="T11" t="n">
        <v>11</v>
      </c>
      <c r="V11" t="inlineStr">
        <is>
          <t>1998-11-29</t>
        </is>
      </c>
      <c r="W11" t="inlineStr">
        <is>
          <t>1993-05-12</t>
        </is>
      </c>
      <c r="X11" t="inlineStr">
        <is>
          <t>1993-05-12</t>
        </is>
      </c>
      <c r="Y11" t="n">
        <v>377</v>
      </c>
      <c r="Z11" t="n">
        <v>296</v>
      </c>
      <c r="AA11" t="n">
        <v>312</v>
      </c>
      <c r="AB11" t="n">
        <v>2</v>
      </c>
      <c r="AC11" t="n">
        <v>2</v>
      </c>
      <c r="AD11" t="n">
        <v>11</v>
      </c>
      <c r="AE11" t="n">
        <v>11</v>
      </c>
      <c r="AF11" t="n">
        <v>4</v>
      </c>
      <c r="AG11" t="n">
        <v>4</v>
      </c>
      <c r="AH11" t="n">
        <v>3</v>
      </c>
      <c r="AI11" t="n">
        <v>3</v>
      </c>
      <c r="AJ11" t="n">
        <v>5</v>
      </c>
      <c r="AK11" t="n">
        <v>5</v>
      </c>
      <c r="AL11" t="n">
        <v>1</v>
      </c>
      <c r="AM11" t="n">
        <v>1</v>
      </c>
      <c r="AN11" t="n">
        <v>0</v>
      </c>
      <c r="AO11" t="n">
        <v>0</v>
      </c>
      <c r="AP11" t="inlineStr">
        <is>
          <t>No</t>
        </is>
      </c>
      <c r="AQ11" t="inlineStr">
        <is>
          <t>Yes</t>
        </is>
      </c>
      <c r="AR11">
        <f>HYPERLINK("http://catalog.hathitrust.org/Record/007470408","HathiTrust Record")</f>
        <v/>
      </c>
      <c r="AS11">
        <f>HYPERLINK("https://creighton-primo.hosted.exlibrisgroup.com/primo-explore/search?tab=default_tab&amp;search_scope=EVERYTHING&amp;vid=01CRU&amp;lang=en_US&amp;offset=0&amp;query=any,contains,991001218449702656","Catalog Record")</f>
        <v/>
      </c>
      <c r="AT11">
        <f>HYPERLINK("http://www.worldcat.org/oclc/938787405","WorldCat Record")</f>
        <v/>
      </c>
      <c r="AU11" t="inlineStr">
        <is>
          <t>2863454369:eng</t>
        </is>
      </c>
      <c r="AV11" t="inlineStr">
        <is>
          <t>938787405</t>
        </is>
      </c>
      <c r="AW11" t="inlineStr">
        <is>
          <t>991001218449702656</t>
        </is>
      </c>
      <c r="AX11" t="inlineStr">
        <is>
          <t>991001218449702656</t>
        </is>
      </c>
      <c r="AY11" t="inlineStr">
        <is>
          <t>2267175950002656</t>
        </is>
      </c>
      <c r="AZ11" t="inlineStr">
        <is>
          <t>BOOK</t>
        </is>
      </c>
      <c r="BB11" t="inlineStr">
        <is>
          <t>9780124319011</t>
        </is>
      </c>
      <c r="BC11" t="inlineStr">
        <is>
          <t>32285001665610</t>
        </is>
      </c>
      <c r="BD11" t="inlineStr">
        <is>
          <t>893872379</t>
        </is>
      </c>
    </row>
    <row r="12">
      <c r="A12" t="inlineStr">
        <is>
          <t>No</t>
        </is>
      </c>
      <c r="B12" t="inlineStr">
        <is>
          <t>TA1673 .L34 1982</t>
        </is>
      </c>
      <c r="C12" t="inlineStr">
        <is>
          <t>0                      TA 1673000L  34          1982</t>
        </is>
      </c>
      <c r="D12" t="inlineStr">
        <is>
          <t>Laser annealing of semiconductors / edited by J.M. Poate, James W. Mayer.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L12" t="inlineStr">
        <is>
          <t>New York : Academic Press, 1982.</t>
        </is>
      </c>
      <c r="M12" t="inlineStr">
        <is>
          <t>1982</t>
        </is>
      </c>
      <c r="O12" t="inlineStr">
        <is>
          <t>eng</t>
        </is>
      </c>
      <c r="P12" t="inlineStr">
        <is>
          <t>nyu</t>
        </is>
      </c>
      <c r="R12" t="inlineStr">
        <is>
          <t xml:space="preserve">TA </t>
        </is>
      </c>
      <c r="S12" t="n">
        <v>1</v>
      </c>
      <c r="T12" t="n">
        <v>1</v>
      </c>
      <c r="U12" t="inlineStr">
        <is>
          <t>1997-01-20</t>
        </is>
      </c>
      <c r="V12" t="inlineStr">
        <is>
          <t>1997-01-20</t>
        </is>
      </c>
      <c r="W12" t="inlineStr">
        <is>
          <t>1993-05-12</t>
        </is>
      </c>
      <c r="X12" t="inlineStr">
        <is>
          <t>1993-05-12</t>
        </is>
      </c>
      <c r="Y12" t="n">
        <v>223</v>
      </c>
      <c r="Z12" t="n">
        <v>157</v>
      </c>
      <c r="AA12" t="n">
        <v>204</v>
      </c>
      <c r="AB12" t="n">
        <v>2</v>
      </c>
      <c r="AC12" t="n">
        <v>2</v>
      </c>
      <c r="AD12" t="n">
        <v>3</v>
      </c>
      <c r="AE12" t="n">
        <v>5</v>
      </c>
      <c r="AF12" t="n">
        <v>0</v>
      </c>
      <c r="AG12" t="n">
        <v>1</v>
      </c>
      <c r="AH12" t="n">
        <v>1</v>
      </c>
      <c r="AI12" t="n">
        <v>2</v>
      </c>
      <c r="AJ12" t="n">
        <v>1</v>
      </c>
      <c r="AK12" t="n">
        <v>1</v>
      </c>
      <c r="AL12" t="n">
        <v>1</v>
      </c>
      <c r="AM12" t="n">
        <v>1</v>
      </c>
      <c r="AN12" t="n">
        <v>0</v>
      </c>
      <c r="AO12" t="n">
        <v>0</v>
      </c>
      <c r="AP12" t="inlineStr">
        <is>
          <t>No</t>
        </is>
      </c>
      <c r="AQ12" t="inlineStr">
        <is>
          <t>Yes</t>
        </is>
      </c>
      <c r="AR12">
        <f>HYPERLINK("http://catalog.hathitrust.org/Record/000273617","HathiTrust Record")</f>
        <v/>
      </c>
      <c r="AS12">
        <f>HYPERLINK("https://creighton-primo.hosted.exlibrisgroup.com/primo-explore/search?tab=default_tab&amp;search_scope=EVERYTHING&amp;vid=01CRU&amp;lang=en_US&amp;offset=0&amp;query=any,contains,991005249499702656","Catalog Record")</f>
        <v/>
      </c>
      <c r="AT12">
        <f>HYPERLINK("http://www.worldcat.org/oclc/8476544","WorldCat Record")</f>
        <v/>
      </c>
      <c r="AU12" t="inlineStr">
        <is>
          <t>352279008:eng</t>
        </is>
      </c>
      <c r="AV12" t="inlineStr">
        <is>
          <t>8476544</t>
        </is>
      </c>
      <c r="AW12" t="inlineStr">
        <is>
          <t>991005249499702656</t>
        </is>
      </c>
      <c r="AX12" t="inlineStr">
        <is>
          <t>991005249499702656</t>
        </is>
      </c>
      <c r="AY12" t="inlineStr">
        <is>
          <t>2257656400002656</t>
        </is>
      </c>
      <c r="AZ12" t="inlineStr">
        <is>
          <t>BOOK</t>
        </is>
      </c>
      <c r="BB12" t="inlineStr">
        <is>
          <t>9780125588201</t>
        </is>
      </c>
      <c r="BC12" t="inlineStr">
        <is>
          <t>32285001665628</t>
        </is>
      </c>
      <c r="BD12" t="inlineStr">
        <is>
          <t>893242437</t>
        </is>
      </c>
    </row>
    <row r="13">
      <c r="A13" t="inlineStr">
        <is>
          <t>No</t>
        </is>
      </c>
      <c r="B13" t="inlineStr">
        <is>
          <t>TA1695 .E92 1983</t>
        </is>
      </c>
      <c r="C13" t="inlineStr">
        <is>
          <t>0                      TA 1695000E  92          1983</t>
        </is>
      </c>
      <c r="D13" t="inlineStr">
        <is>
          <t>Excimer lasers--1983 : (OSA, Lake Tahoe, Nevada) / edited by C.K. Rhodes, H. Egger and H. Pummer.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L13" t="inlineStr">
        <is>
          <t>New York : American Institute of Physics, 1983.</t>
        </is>
      </c>
      <c r="M13" t="inlineStr">
        <is>
          <t>1983</t>
        </is>
      </c>
      <c r="O13" t="inlineStr">
        <is>
          <t>eng</t>
        </is>
      </c>
      <c r="P13" t="inlineStr">
        <is>
          <t>nyu</t>
        </is>
      </c>
      <c r="Q13" t="inlineStr">
        <is>
          <t>AIP conference proceedings ; no. 100</t>
        </is>
      </c>
      <c r="R13" t="inlineStr">
        <is>
          <t xml:space="preserve">TA </t>
        </is>
      </c>
      <c r="S13" t="n">
        <v>1</v>
      </c>
      <c r="T13" t="n">
        <v>1</v>
      </c>
      <c r="U13" t="inlineStr">
        <is>
          <t>2003-11-25</t>
        </is>
      </c>
      <c r="V13" t="inlineStr">
        <is>
          <t>2003-11-25</t>
        </is>
      </c>
      <c r="W13" t="inlineStr">
        <is>
          <t>1993-05-12</t>
        </is>
      </c>
      <c r="X13" t="inlineStr">
        <is>
          <t>1993-05-12</t>
        </is>
      </c>
      <c r="Y13" t="n">
        <v>226</v>
      </c>
      <c r="Z13" t="n">
        <v>171</v>
      </c>
      <c r="AA13" t="n">
        <v>195</v>
      </c>
      <c r="AB13" t="n">
        <v>1</v>
      </c>
      <c r="AC13" t="n">
        <v>1</v>
      </c>
      <c r="AD13" t="n">
        <v>3</v>
      </c>
      <c r="AE13" t="n">
        <v>3</v>
      </c>
      <c r="AF13" t="n">
        <v>0</v>
      </c>
      <c r="AG13" t="n">
        <v>0</v>
      </c>
      <c r="AH13" t="n">
        <v>3</v>
      </c>
      <c r="AI13" t="n">
        <v>3</v>
      </c>
      <c r="AJ13" t="n">
        <v>1</v>
      </c>
      <c r="AK13" t="n">
        <v>1</v>
      </c>
      <c r="AL13" t="n">
        <v>0</v>
      </c>
      <c r="AM13" t="n">
        <v>0</v>
      </c>
      <c r="AN13" t="n">
        <v>0</v>
      </c>
      <c r="AO13" t="n">
        <v>0</v>
      </c>
      <c r="AP13" t="inlineStr">
        <is>
          <t>No</t>
        </is>
      </c>
      <c r="AQ13" t="inlineStr">
        <is>
          <t>Yes</t>
        </is>
      </c>
      <c r="AR13">
        <f>HYPERLINK("http://catalog.hathitrust.org/Record/000113680","HathiTrust Record")</f>
        <v/>
      </c>
      <c r="AS13">
        <f>HYPERLINK("https://creighton-primo.hosted.exlibrisgroup.com/primo-explore/search?tab=default_tab&amp;search_scope=EVERYTHING&amp;vid=01CRU&amp;lang=en_US&amp;offset=0&amp;query=any,contains,991000249999702656","Catalog Record")</f>
        <v/>
      </c>
      <c r="AT13">
        <f>HYPERLINK("http://www.worldcat.org/oclc/10431103","WorldCat Record")</f>
        <v/>
      </c>
      <c r="AU13" t="inlineStr">
        <is>
          <t>352286814:eng</t>
        </is>
      </c>
      <c r="AV13" t="inlineStr">
        <is>
          <t>10431103</t>
        </is>
      </c>
      <c r="AW13" t="inlineStr">
        <is>
          <t>991000249999702656</t>
        </is>
      </c>
      <c r="AX13" t="inlineStr">
        <is>
          <t>991000249999702656</t>
        </is>
      </c>
      <c r="AY13" t="inlineStr">
        <is>
          <t>2270990420002656</t>
        </is>
      </c>
      <c r="AZ13" t="inlineStr">
        <is>
          <t>BOOK</t>
        </is>
      </c>
      <c r="BB13" t="inlineStr">
        <is>
          <t>9780883181997</t>
        </is>
      </c>
      <c r="BC13" t="inlineStr">
        <is>
          <t>32285001665669</t>
        </is>
      </c>
      <c r="BD13" t="inlineStr">
        <is>
          <t>893527925</t>
        </is>
      </c>
    </row>
    <row r="14">
      <c r="A14" t="inlineStr">
        <is>
          <t>No</t>
        </is>
      </c>
      <c r="B14" t="inlineStr">
        <is>
          <t>TA347.F5 H56</t>
        </is>
      </c>
      <c r="C14" t="inlineStr">
        <is>
          <t>0                      TA 0347000F  5                  H  56</t>
        </is>
      </c>
      <c r="D14" t="inlineStr">
        <is>
          <t>Finite element programming / E. Hinton and D. R. J. Owen.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Hinton, E. (Ernest)</t>
        </is>
      </c>
      <c r="L14" t="inlineStr">
        <is>
          <t>London ; New York : Academic Press, 1977.</t>
        </is>
      </c>
      <c r="M14" t="inlineStr">
        <is>
          <t>1977</t>
        </is>
      </c>
      <c r="O14" t="inlineStr">
        <is>
          <t>eng</t>
        </is>
      </c>
      <c r="P14" t="inlineStr">
        <is>
          <t>enk</t>
        </is>
      </c>
      <c r="Q14" t="inlineStr">
        <is>
          <t>Computational mathematics and applications</t>
        </is>
      </c>
      <c r="R14" t="inlineStr">
        <is>
          <t xml:space="preserve">TA </t>
        </is>
      </c>
      <c r="S14" t="n">
        <v>1</v>
      </c>
      <c r="T14" t="n">
        <v>1</v>
      </c>
      <c r="U14" t="inlineStr">
        <is>
          <t>1998-10-16</t>
        </is>
      </c>
      <c r="V14" t="inlineStr">
        <is>
          <t>1998-10-16</t>
        </is>
      </c>
      <c r="W14" t="inlineStr">
        <is>
          <t>1997-08-14</t>
        </is>
      </c>
      <c r="X14" t="inlineStr">
        <is>
          <t>1997-08-14</t>
        </is>
      </c>
      <c r="Y14" t="n">
        <v>385</v>
      </c>
      <c r="Z14" t="n">
        <v>226</v>
      </c>
      <c r="AA14" t="n">
        <v>229</v>
      </c>
      <c r="AB14" t="n">
        <v>1</v>
      </c>
      <c r="AC14" t="n">
        <v>1</v>
      </c>
      <c r="AD14" t="n">
        <v>7</v>
      </c>
      <c r="AE14" t="n">
        <v>7</v>
      </c>
      <c r="AF14" t="n">
        <v>1</v>
      </c>
      <c r="AG14" t="n">
        <v>1</v>
      </c>
      <c r="AH14" t="n">
        <v>2</v>
      </c>
      <c r="AI14" t="n">
        <v>2</v>
      </c>
      <c r="AJ14" t="n">
        <v>6</v>
      </c>
      <c r="AK14" t="n">
        <v>6</v>
      </c>
      <c r="AL14" t="n">
        <v>0</v>
      </c>
      <c r="AM14" t="n">
        <v>0</v>
      </c>
      <c r="AN14" t="n">
        <v>0</v>
      </c>
      <c r="AO14" t="n">
        <v>0</v>
      </c>
      <c r="AP14" t="inlineStr">
        <is>
          <t>No</t>
        </is>
      </c>
      <c r="AQ14" t="inlineStr">
        <is>
          <t>No</t>
        </is>
      </c>
      <c r="AS14">
        <f>HYPERLINK("https://creighton-primo.hosted.exlibrisgroup.com/primo-explore/search?tab=default_tab&amp;search_scope=EVERYTHING&amp;vid=01CRU&amp;lang=en_US&amp;offset=0&amp;query=any,contains,991004407019702656","Catalog Record")</f>
        <v/>
      </c>
      <c r="AT14">
        <f>HYPERLINK("http://www.worldcat.org/oclc/3326832","WorldCat Record")</f>
        <v/>
      </c>
      <c r="AU14" t="inlineStr">
        <is>
          <t>570494:eng</t>
        </is>
      </c>
      <c r="AV14" t="inlineStr">
        <is>
          <t>3326832</t>
        </is>
      </c>
      <c r="AW14" t="inlineStr">
        <is>
          <t>991004407019702656</t>
        </is>
      </c>
      <c r="AX14" t="inlineStr">
        <is>
          <t>991004407019702656</t>
        </is>
      </c>
      <c r="AY14" t="inlineStr">
        <is>
          <t>2270346220002656</t>
        </is>
      </c>
      <c r="AZ14" t="inlineStr">
        <is>
          <t>BOOK</t>
        </is>
      </c>
      <c r="BB14" t="inlineStr">
        <is>
          <t>9780123493507</t>
        </is>
      </c>
      <c r="BC14" t="inlineStr">
        <is>
          <t>32285003109419</t>
        </is>
      </c>
      <c r="BD14" t="inlineStr">
        <is>
          <t>893519611</t>
        </is>
      </c>
    </row>
    <row r="15">
      <c r="A15" t="inlineStr">
        <is>
          <t>No</t>
        </is>
      </c>
      <c r="B15" t="inlineStr">
        <is>
          <t>TA352 .R67 1983</t>
        </is>
      </c>
      <c r="C15" t="inlineStr">
        <is>
          <t>0                      TA 0352000R  67          1983</t>
        </is>
      </c>
      <c r="D15" t="inlineStr">
        <is>
          <t>Introduction to physical system dynamics / Ronald C. Rosenberg, Dean C. Karnopp.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Rosenberg, Ronald C.</t>
        </is>
      </c>
      <c r="L15" t="inlineStr">
        <is>
          <t>New York : McGraw-Hill, c1983.</t>
        </is>
      </c>
      <c r="M15" t="inlineStr">
        <is>
          <t>1983</t>
        </is>
      </c>
      <c r="O15" t="inlineStr">
        <is>
          <t>eng</t>
        </is>
      </c>
      <c r="P15" t="inlineStr">
        <is>
          <t>nyu</t>
        </is>
      </c>
      <c r="Q15" t="inlineStr">
        <is>
          <t>McGraw-Hill series in mechanical engineering</t>
        </is>
      </c>
      <c r="R15" t="inlineStr">
        <is>
          <t xml:space="preserve">TA </t>
        </is>
      </c>
      <c r="S15" t="n">
        <v>0</v>
      </c>
      <c r="T15" t="n">
        <v>0</v>
      </c>
      <c r="U15" t="inlineStr">
        <is>
          <t>2005-11-01</t>
        </is>
      </c>
      <c r="V15" t="inlineStr">
        <is>
          <t>2005-11-01</t>
        </is>
      </c>
      <c r="W15" t="inlineStr">
        <is>
          <t>1993-05-04</t>
        </is>
      </c>
      <c r="X15" t="inlineStr">
        <is>
          <t>1993-05-04</t>
        </is>
      </c>
      <c r="Y15" t="n">
        <v>247</v>
      </c>
      <c r="Z15" t="n">
        <v>172</v>
      </c>
      <c r="AA15" t="n">
        <v>174</v>
      </c>
      <c r="AB15" t="n">
        <v>3</v>
      </c>
      <c r="AC15" t="n">
        <v>3</v>
      </c>
      <c r="AD15" t="n">
        <v>4</v>
      </c>
      <c r="AE15" t="n">
        <v>4</v>
      </c>
      <c r="AF15" t="n">
        <v>0</v>
      </c>
      <c r="AG15" t="n">
        <v>0</v>
      </c>
      <c r="AH15" t="n">
        <v>0</v>
      </c>
      <c r="AI15" t="n">
        <v>0</v>
      </c>
      <c r="AJ15" t="n">
        <v>2</v>
      </c>
      <c r="AK15" t="n">
        <v>2</v>
      </c>
      <c r="AL15" t="n">
        <v>2</v>
      </c>
      <c r="AM15" t="n">
        <v>2</v>
      </c>
      <c r="AN15" t="n">
        <v>0</v>
      </c>
      <c r="AO15" t="n">
        <v>0</v>
      </c>
      <c r="AP15" t="inlineStr">
        <is>
          <t>No</t>
        </is>
      </c>
      <c r="AQ15" t="inlineStr">
        <is>
          <t>Yes</t>
        </is>
      </c>
      <c r="AR15">
        <f>HYPERLINK("http://catalog.hathitrust.org/Record/000274978","HathiTrust Record")</f>
        <v/>
      </c>
      <c r="AS15">
        <f>HYPERLINK("https://creighton-primo.hosted.exlibrisgroup.com/primo-explore/search?tab=default_tab&amp;search_scope=EVERYTHING&amp;vid=01CRU&amp;lang=en_US&amp;offset=0&amp;query=any,contains,991000065999702656","Catalog Record")</f>
        <v/>
      </c>
      <c r="AT15">
        <f>HYPERLINK("http://www.worldcat.org/oclc/8763706","WorldCat Record")</f>
        <v/>
      </c>
      <c r="AU15" t="inlineStr">
        <is>
          <t>406310:eng</t>
        </is>
      </c>
      <c r="AV15" t="inlineStr">
        <is>
          <t>8763706</t>
        </is>
      </c>
      <c r="AW15" t="inlineStr">
        <is>
          <t>991000065999702656</t>
        </is>
      </c>
      <c r="AX15" t="inlineStr">
        <is>
          <t>991000065999702656</t>
        </is>
      </c>
      <c r="AY15" t="inlineStr">
        <is>
          <t>2265445030002656</t>
        </is>
      </c>
      <c r="AZ15" t="inlineStr">
        <is>
          <t>BOOK</t>
        </is>
      </c>
      <c r="BB15" t="inlineStr">
        <is>
          <t>9780070539051</t>
        </is>
      </c>
      <c r="BC15" t="inlineStr">
        <is>
          <t>32285001665131</t>
        </is>
      </c>
      <c r="BD15" t="inlineStr">
        <is>
          <t>893601418</t>
        </is>
      </c>
    </row>
    <row r="16">
      <c r="A16" t="inlineStr">
        <is>
          <t>No</t>
        </is>
      </c>
      <c r="B16" t="inlineStr">
        <is>
          <t>TA418.5 .H86 1975</t>
        </is>
      </c>
      <c r="C16" t="inlineStr">
        <is>
          <t>0                      TA 0418500H  86          1975</t>
        </is>
      </c>
      <c r="D16" t="inlineStr">
        <is>
          <t>The measurement of appearance / Richard S. Hunter.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Hunter, Richard S. (Richard Sewall), 1909-</t>
        </is>
      </c>
      <c r="L16" t="inlineStr">
        <is>
          <t>New York : Wiley, [1975]</t>
        </is>
      </c>
      <c r="M16" t="inlineStr">
        <is>
          <t>1975</t>
        </is>
      </c>
      <c r="O16" t="inlineStr">
        <is>
          <t>eng</t>
        </is>
      </c>
      <c r="P16" t="inlineStr">
        <is>
          <t>nyu</t>
        </is>
      </c>
      <c r="R16" t="inlineStr">
        <is>
          <t xml:space="preserve">TA </t>
        </is>
      </c>
      <c r="S16" t="n">
        <v>1</v>
      </c>
      <c r="T16" t="n">
        <v>1</v>
      </c>
      <c r="U16" t="inlineStr">
        <is>
          <t>1995-02-03</t>
        </is>
      </c>
      <c r="V16" t="inlineStr">
        <is>
          <t>1995-02-03</t>
        </is>
      </c>
      <c r="W16" t="inlineStr">
        <is>
          <t>1993-05-04</t>
        </is>
      </c>
      <c r="X16" t="inlineStr">
        <is>
          <t>1993-05-04</t>
        </is>
      </c>
      <c r="Y16" t="n">
        <v>341</v>
      </c>
      <c r="Z16" t="n">
        <v>258</v>
      </c>
      <c r="AA16" t="n">
        <v>367</v>
      </c>
      <c r="AB16" t="n">
        <v>3</v>
      </c>
      <c r="AC16" t="n">
        <v>3</v>
      </c>
      <c r="AD16" t="n">
        <v>6</v>
      </c>
      <c r="AE16" t="n">
        <v>7</v>
      </c>
      <c r="AF16" t="n">
        <v>1</v>
      </c>
      <c r="AG16" t="n">
        <v>2</v>
      </c>
      <c r="AH16" t="n">
        <v>1</v>
      </c>
      <c r="AI16" t="n">
        <v>1</v>
      </c>
      <c r="AJ16" t="n">
        <v>2</v>
      </c>
      <c r="AK16" t="n">
        <v>2</v>
      </c>
      <c r="AL16" t="n">
        <v>2</v>
      </c>
      <c r="AM16" t="n">
        <v>2</v>
      </c>
      <c r="AN16" t="n">
        <v>0</v>
      </c>
      <c r="AO16" t="n">
        <v>0</v>
      </c>
      <c r="AP16" t="inlineStr">
        <is>
          <t>No</t>
        </is>
      </c>
      <c r="AQ16" t="inlineStr">
        <is>
          <t>Yes</t>
        </is>
      </c>
      <c r="AR16">
        <f>HYPERLINK("http://catalog.hathitrust.org/Record/000045020","HathiTrust Record")</f>
        <v/>
      </c>
      <c r="AS16">
        <f>HYPERLINK("https://creighton-primo.hosted.exlibrisgroup.com/primo-explore/search?tab=default_tab&amp;search_scope=EVERYTHING&amp;vid=01CRU&amp;lang=en_US&amp;offset=0&amp;query=any,contains,991003802539702656","Catalog Record")</f>
        <v/>
      </c>
      <c r="AT16">
        <f>HYPERLINK("http://www.worldcat.org/oclc/1528438","WorldCat Record")</f>
        <v/>
      </c>
      <c r="AU16" t="inlineStr">
        <is>
          <t>2387888:eng</t>
        </is>
      </c>
      <c r="AV16" t="inlineStr">
        <is>
          <t>1528438</t>
        </is>
      </c>
      <c r="AW16" t="inlineStr">
        <is>
          <t>991003802539702656</t>
        </is>
      </c>
      <c r="AX16" t="inlineStr">
        <is>
          <t>991003802539702656</t>
        </is>
      </c>
      <c r="AY16" t="inlineStr">
        <is>
          <t>2257397040002656</t>
        </is>
      </c>
      <c r="AZ16" t="inlineStr">
        <is>
          <t>BOOK</t>
        </is>
      </c>
      <c r="BB16" t="inlineStr">
        <is>
          <t>9780471421412</t>
        </is>
      </c>
      <c r="BC16" t="inlineStr">
        <is>
          <t>32285001665248</t>
        </is>
      </c>
      <c r="BD16" t="inlineStr">
        <is>
          <t>893800186</t>
        </is>
      </c>
    </row>
    <row r="17">
      <c r="A17" t="inlineStr">
        <is>
          <t>No</t>
        </is>
      </c>
      <c r="B17" t="inlineStr">
        <is>
          <t>TA658.2 .J46 2004</t>
        </is>
      </c>
      <c r="C17" t="inlineStr">
        <is>
          <t>0                      TA 0658200J  46          2004</t>
        </is>
      </c>
      <c r="D17" t="inlineStr">
        <is>
          <t>Structures : from theory to practice / Alan Jennings.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Jennings, Alan.</t>
        </is>
      </c>
      <c r="L17" t="inlineStr">
        <is>
          <t>London ; New York : Spon Press, 2004.</t>
        </is>
      </c>
      <c r="M17" t="inlineStr">
        <is>
          <t>2004</t>
        </is>
      </c>
      <c r="O17" t="inlineStr">
        <is>
          <t>eng</t>
        </is>
      </c>
      <c r="P17" t="inlineStr">
        <is>
          <t>enk</t>
        </is>
      </c>
      <c r="R17" t="inlineStr">
        <is>
          <t xml:space="preserve">TA </t>
        </is>
      </c>
      <c r="S17" t="n">
        <v>1</v>
      </c>
      <c r="T17" t="n">
        <v>1</v>
      </c>
      <c r="U17" t="inlineStr">
        <is>
          <t>2006-07-26</t>
        </is>
      </c>
      <c r="V17" t="inlineStr">
        <is>
          <t>2006-07-26</t>
        </is>
      </c>
      <c r="W17" t="inlineStr">
        <is>
          <t>2006-07-26</t>
        </is>
      </c>
      <c r="X17" t="inlineStr">
        <is>
          <t>2006-07-26</t>
        </is>
      </c>
      <c r="Y17" t="n">
        <v>343</v>
      </c>
      <c r="Z17" t="n">
        <v>248</v>
      </c>
      <c r="AA17" t="n">
        <v>393</v>
      </c>
      <c r="AB17" t="n">
        <v>4</v>
      </c>
      <c r="AC17" t="n">
        <v>4</v>
      </c>
      <c r="AD17" t="n">
        <v>12</v>
      </c>
      <c r="AE17" t="n">
        <v>17</v>
      </c>
      <c r="AF17" t="n">
        <v>6</v>
      </c>
      <c r="AG17" t="n">
        <v>9</v>
      </c>
      <c r="AH17" t="n">
        <v>1</v>
      </c>
      <c r="AI17" t="n">
        <v>3</v>
      </c>
      <c r="AJ17" t="n">
        <v>5</v>
      </c>
      <c r="AK17" t="n">
        <v>6</v>
      </c>
      <c r="AL17" t="n">
        <v>3</v>
      </c>
      <c r="AM17" t="n">
        <v>3</v>
      </c>
      <c r="AN17" t="n">
        <v>0</v>
      </c>
      <c r="AO17" t="n">
        <v>0</v>
      </c>
      <c r="AP17" t="inlineStr">
        <is>
          <t>No</t>
        </is>
      </c>
      <c r="AQ17" t="inlineStr">
        <is>
          <t>No</t>
        </is>
      </c>
      <c r="AS17">
        <f>HYPERLINK("https://creighton-primo.hosted.exlibrisgroup.com/primo-explore/search?tab=default_tab&amp;search_scope=EVERYTHING&amp;vid=01CRU&amp;lang=en_US&amp;offset=0&amp;query=any,contains,991004854779702656","Catalog Record")</f>
        <v/>
      </c>
      <c r="AT17">
        <f>HYPERLINK("http://www.worldcat.org/oclc/53937829","WorldCat Record")</f>
        <v/>
      </c>
      <c r="AU17" t="inlineStr">
        <is>
          <t>801842881:eng</t>
        </is>
      </c>
      <c r="AV17" t="inlineStr">
        <is>
          <t>53937829</t>
        </is>
      </c>
      <c r="AW17" t="inlineStr">
        <is>
          <t>991004854779702656</t>
        </is>
      </c>
      <c r="AX17" t="inlineStr">
        <is>
          <t>991004854779702656</t>
        </is>
      </c>
      <c r="AY17" t="inlineStr">
        <is>
          <t>2262754560002656</t>
        </is>
      </c>
      <c r="AZ17" t="inlineStr">
        <is>
          <t>BOOK</t>
        </is>
      </c>
      <c r="BB17" t="inlineStr">
        <is>
          <t>9780415268424</t>
        </is>
      </c>
      <c r="BC17" t="inlineStr">
        <is>
          <t>32285005198303</t>
        </is>
      </c>
      <c r="BD17" t="inlineStr">
        <is>
          <t>893325879</t>
        </is>
      </c>
    </row>
    <row r="18">
      <c r="A18" t="inlineStr">
        <is>
          <t>No</t>
        </is>
      </c>
      <c r="B18" t="inlineStr">
        <is>
          <t>TC774 .B68</t>
        </is>
      </c>
      <c r="C18" t="inlineStr">
        <is>
          <t>0                      TC 0774000B  68</t>
        </is>
      </c>
      <c r="D18" t="inlineStr">
        <is>
          <t>The Panama gateway / by Joseph Bucklin Bishop.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Bishop, Joseph Bucklin, 1847-1928.</t>
        </is>
      </c>
      <c r="L18" t="inlineStr">
        <is>
          <t>New York : C. Scribner's Sons, 1913.</t>
        </is>
      </c>
      <c r="M18" t="inlineStr">
        <is>
          <t>1913</t>
        </is>
      </c>
      <c r="O18" t="inlineStr">
        <is>
          <t>eng</t>
        </is>
      </c>
      <c r="P18" t="inlineStr">
        <is>
          <t>nyu</t>
        </is>
      </c>
      <c r="R18" t="inlineStr">
        <is>
          <t xml:space="preserve">TC </t>
        </is>
      </c>
      <c r="S18" t="n">
        <v>1</v>
      </c>
      <c r="T18" t="n">
        <v>1</v>
      </c>
      <c r="U18" t="inlineStr">
        <is>
          <t>1992-04-12</t>
        </is>
      </c>
      <c r="V18" t="inlineStr">
        <is>
          <t>1992-04-12</t>
        </is>
      </c>
      <c r="W18" t="inlineStr">
        <is>
          <t>1990-11-12</t>
        </is>
      </c>
      <c r="X18" t="inlineStr">
        <is>
          <t>1990-11-12</t>
        </is>
      </c>
      <c r="Y18" t="n">
        <v>398</v>
      </c>
      <c r="Z18" t="n">
        <v>357</v>
      </c>
      <c r="AA18" t="n">
        <v>429</v>
      </c>
      <c r="AB18" t="n">
        <v>4</v>
      </c>
      <c r="AC18" t="n">
        <v>4</v>
      </c>
      <c r="AD18" t="n">
        <v>17</v>
      </c>
      <c r="AE18" t="n">
        <v>19</v>
      </c>
      <c r="AF18" t="n">
        <v>6</v>
      </c>
      <c r="AG18" t="n">
        <v>6</v>
      </c>
      <c r="AH18" t="n">
        <v>4</v>
      </c>
      <c r="AI18" t="n">
        <v>6</v>
      </c>
      <c r="AJ18" t="n">
        <v>7</v>
      </c>
      <c r="AK18" t="n">
        <v>8</v>
      </c>
      <c r="AL18" t="n">
        <v>3</v>
      </c>
      <c r="AM18" t="n">
        <v>3</v>
      </c>
      <c r="AN18" t="n">
        <v>1</v>
      </c>
      <c r="AO18" t="n">
        <v>1</v>
      </c>
      <c r="AP18" t="inlineStr">
        <is>
          <t>Yes</t>
        </is>
      </c>
      <c r="AQ18" t="inlineStr">
        <is>
          <t>No</t>
        </is>
      </c>
      <c r="AR18">
        <f>HYPERLINK("http://catalog.hathitrust.org/Record/001515081","HathiTrust Record")</f>
        <v/>
      </c>
      <c r="AS18">
        <f>HYPERLINK("https://creighton-primo.hosted.exlibrisgroup.com/primo-explore/search?tab=default_tab&amp;search_scope=EVERYTHING&amp;vid=01CRU&amp;lang=en_US&amp;offset=0&amp;query=any,contains,991002995319702656","Catalog Record")</f>
        <v/>
      </c>
      <c r="AT18">
        <f>HYPERLINK("http://www.worldcat.org/oclc/563386","WorldCat Record")</f>
        <v/>
      </c>
      <c r="AU18" t="inlineStr">
        <is>
          <t>1644110:eng</t>
        </is>
      </c>
      <c r="AV18" t="inlineStr">
        <is>
          <t>563386</t>
        </is>
      </c>
      <c r="AW18" t="inlineStr">
        <is>
          <t>991002995319702656</t>
        </is>
      </c>
      <c r="AX18" t="inlineStr">
        <is>
          <t>991002995319702656</t>
        </is>
      </c>
      <c r="AY18" t="inlineStr">
        <is>
          <t>2255729690002656</t>
        </is>
      </c>
      <c r="AZ18" t="inlineStr">
        <is>
          <t>BOOK</t>
        </is>
      </c>
      <c r="BC18" t="inlineStr">
        <is>
          <t>32285000367713</t>
        </is>
      </c>
      <c r="BD18" t="inlineStr">
        <is>
          <t>893867971</t>
        </is>
      </c>
    </row>
    <row r="19">
      <c r="A19" t="inlineStr">
        <is>
          <t>No</t>
        </is>
      </c>
      <c r="B19" t="inlineStr">
        <is>
          <t>TC774 .M62</t>
        </is>
      </c>
      <c r="C19" t="inlineStr">
        <is>
          <t>0                      TC 0774000M  62</t>
        </is>
      </c>
      <c r="D19" t="inlineStr">
        <is>
          <t>The Isthmian highway : a review of the problems of the Caribbean / by Hugh Gordon Miller with illustrations and appencices; foreword by Don Miguel Cruchaga and introduction by James M. Beck.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Miller, Hugh Gordon, 1875-</t>
        </is>
      </c>
      <c r="L19" t="inlineStr">
        <is>
          <t>New York : The Macmillan company, 1929.</t>
        </is>
      </c>
      <c r="M19" t="inlineStr">
        <is>
          <t>1929</t>
        </is>
      </c>
      <c r="O19" t="inlineStr">
        <is>
          <t>eng</t>
        </is>
      </c>
      <c r="P19" t="inlineStr">
        <is>
          <t>nyu</t>
        </is>
      </c>
      <c r="R19" t="inlineStr">
        <is>
          <t xml:space="preserve">TC </t>
        </is>
      </c>
      <c r="S19" t="n">
        <v>1</v>
      </c>
      <c r="T19" t="n">
        <v>1</v>
      </c>
      <c r="U19" t="inlineStr">
        <is>
          <t>1993-11-05</t>
        </is>
      </c>
      <c r="V19" t="inlineStr">
        <is>
          <t>1993-11-05</t>
        </is>
      </c>
      <c r="W19" t="inlineStr">
        <is>
          <t>1992-04-15</t>
        </is>
      </c>
      <c r="X19" t="inlineStr">
        <is>
          <t>1992-04-15</t>
        </is>
      </c>
      <c r="Y19" t="n">
        <v>266</v>
      </c>
      <c r="Z19" t="n">
        <v>234</v>
      </c>
      <c r="AA19" t="n">
        <v>451</v>
      </c>
      <c r="AB19" t="n">
        <v>3</v>
      </c>
      <c r="AC19" t="n">
        <v>6</v>
      </c>
      <c r="AD19" t="n">
        <v>4</v>
      </c>
      <c r="AE19" t="n">
        <v>18</v>
      </c>
      <c r="AF19" t="n">
        <v>0</v>
      </c>
      <c r="AG19" t="n">
        <v>4</v>
      </c>
      <c r="AH19" t="n">
        <v>1</v>
      </c>
      <c r="AI19" t="n">
        <v>5</v>
      </c>
      <c r="AJ19" t="n">
        <v>2</v>
      </c>
      <c r="AK19" t="n">
        <v>4</v>
      </c>
      <c r="AL19" t="n">
        <v>2</v>
      </c>
      <c r="AM19" t="n">
        <v>4</v>
      </c>
      <c r="AN19" t="n">
        <v>0</v>
      </c>
      <c r="AO19" t="n">
        <v>3</v>
      </c>
      <c r="AP19" t="inlineStr">
        <is>
          <t>Yes</t>
        </is>
      </c>
      <c r="AQ19" t="inlineStr">
        <is>
          <t>No</t>
        </is>
      </c>
      <c r="AR19">
        <f>HYPERLINK("http://catalog.hathitrust.org/Record/001152955","HathiTrust Record")</f>
        <v/>
      </c>
      <c r="AS19">
        <f>HYPERLINK("https://creighton-primo.hosted.exlibrisgroup.com/primo-explore/search?tab=default_tab&amp;search_scope=EVERYTHING&amp;vid=01CRU&amp;lang=en_US&amp;offset=0&amp;query=any,contains,991004044839702656","Catalog Record")</f>
        <v/>
      </c>
      <c r="AT19">
        <f>HYPERLINK("http://www.worldcat.org/oclc/2197964","WorldCat Record")</f>
        <v/>
      </c>
      <c r="AU19" t="inlineStr">
        <is>
          <t>1173135:eng</t>
        </is>
      </c>
      <c r="AV19" t="inlineStr">
        <is>
          <t>2197964</t>
        </is>
      </c>
      <c r="AW19" t="inlineStr">
        <is>
          <t>991004044839702656</t>
        </is>
      </c>
      <c r="AX19" t="inlineStr">
        <is>
          <t>991004044839702656</t>
        </is>
      </c>
      <c r="AY19" t="inlineStr">
        <is>
          <t>2258453860002656</t>
        </is>
      </c>
      <c r="AZ19" t="inlineStr">
        <is>
          <t>BOOK</t>
        </is>
      </c>
      <c r="BC19" t="inlineStr">
        <is>
          <t>32285001061737</t>
        </is>
      </c>
      <c r="BD19" t="inlineStr">
        <is>
          <t>893687284</t>
        </is>
      </c>
    </row>
    <row r="20">
      <c r="A20" t="inlineStr">
        <is>
          <t>No</t>
        </is>
      </c>
      <c r="B20" t="inlineStr">
        <is>
          <t>TD195.52.N72 A3523 2007</t>
        </is>
      </c>
      <c r="C20" t="inlineStr">
        <is>
          <t>0                      TD 0195520N  72                 A  3523        2007</t>
        </is>
      </c>
      <c r="D20" t="inlineStr">
        <is>
          <t>Acid rain in the Adirondacks : an environmental history / Jerry Jenkins ... [et al.].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L20" t="inlineStr">
        <is>
          <t>Ithaca : Comstock Pub. Associates/Cornell University Press, 2007.</t>
        </is>
      </c>
      <c r="M20" t="inlineStr">
        <is>
          <t>2007</t>
        </is>
      </c>
      <c r="O20" t="inlineStr">
        <is>
          <t>eng</t>
        </is>
      </c>
      <c r="P20" t="inlineStr">
        <is>
          <t>nyu</t>
        </is>
      </c>
      <c r="R20" t="inlineStr">
        <is>
          <t xml:space="preserve">TD </t>
        </is>
      </c>
      <c r="S20" t="n">
        <v>1</v>
      </c>
      <c r="T20" t="n">
        <v>1</v>
      </c>
      <c r="U20" t="inlineStr">
        <is>
          <t>2008-10-13</t>
        </is>
      </c>
      <c r="V20" t="inlineStr">
        <is>
          <t>2008-10-13</t>
        </is>
      </c>
      <c r="W20" t="inlineStr">
        <is>
          <t>2008-10-13</t>
        </is>
      </c>
      <c r="X20" t="inlineStr">
        <is>
          <t>2008-10-13</t>
        </is>
      </c>
      <c r="Y20" t="n">
        <v>464</v>
      </c>
      <c r="Z20" t="n">
        <v>431</v>
      </c>
      <c r="AA20" t="n">
        <v>433</v>
      </c>
      <c r="AB20" t="n">
        <v>2</v>
      </c>
      <c r="AC20" t="n">
        <v>2</v>
      </c>
      <c r="AD20" t="n">
        <v>15</v>
      </c>
      <c r="AE20" t="n">
        <v>15</v>
      </c>
      <c r="AF20" t="n">
        <v>10</v>
      </c>
      <c r="AG20" t="n">
        <v>10</v>
      </c>
      <c r="AH20" t="n">
        <v>1</v>
      </c>
      <c r="AI20" t="n">
        <v>1</v>
      </c>
      <c r="AJ20" t="n">
        <v>7</v>
      </c>
      <c r="AK20" t="n">
        <v>7</v>
      </c>
      <c r="AL20" t="n">
        <v>1</v>
      </c>
      <c r="AM20" t="n">
        <v>1</v>
      </c>
      <c r="AN20" t="n">
        <v>1</v>
      </c>
      <c r="AO20" t="n">
        <v>1</v>
      </c>
      <c r="AP20" t="inlineStr">
        <is>
          <t>No</t>
        </is>
      </c>
      <c r="AQ20" t="inlineStr">
        <is>
          <t>Yes</t>
        </is>
      </c>
      <c r="AR20">
        <f>HYPERLINK("http://catalog.hathitrust.org/Record/005631899","HathiTrust Record")</f>
        <v/>
      </c>
      <c r="AS20">
        <f>HYPERLINK("https://creighton-primo.hosted.exlibrisgroup.com/primo-explore/search?tab=default_tab&amp;search_scope=EVERYTHING&amp;vid=01CRU&amp;lang=en_US&amp;offset=0&amp;query=any,contains,991005270769702656","Catalog Record")</f>
        <v/>
      </c>
      <c r="AT20">
        <f>HYPERLINK("http://www.worldcat.org/oclc/137325183","WorldCat Record")</f>
        <v/>
      </c>
      <c r="AU20" t="inlineStr">
        <is>
          <t>989538047:eng</t>
        </is>
      </c>
      <c r="AV20" t="inlineStr">
        <is>
          <t>137325183</t>
        </is>
      </c>
      <c r="AW20" t="inlineStr">
        <is>
          <t>991005270769702656</t>
        </is>
      </c>
      <c r="AX20" t="inlineStr">
        <is>
          <t>991005270769702656</t>
        </is>
      </c>
      <c r="AY20" t="inlineStr">
        <is>
          <t>2257087430002656</t>
        </is>
      </c>
      <c r="AZ20" t="inlineStr">
        <is>
          <t>BOOK</t>
        </is>
      </c>
      <c r="BB20" t="inlineStr">
        <is>
          <t>9780801446511</t>
        </is>
      </c>
      <c r="BC20" t="inlineStr">
        <is>
          <t>32285005463061</t>
        </is>
      </c>
      <c r="BD20" t="inlineStr">
        <is>
          <t>893431147</t>
        </is>
      </c>
    </row>
    <row r="21">
      <c r="A21" t="inlineStr">
        <is>
          <t>No</t>
        </is>
      </c>
      <c r="B21" t="inlineStr">
        <is>
          <t>TD883 .B54 1998</t>
        </is>
      </c>
      <c r="C21" t="inlineStr">
        <is>
          <t>0                      TD 0883000B  54          1998</t>
        </is>
      </c>
      <c r="D21" t="inlineStr">
        <is>
          <t>What's in the air : natural and man-made air pollution / Stephen E. Blewett with Mary Embree.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Blewett, Stephen E.</t>
        </is>
      </c>
      <c r="L21" t="inlineStr">
        <is>
          <t>Ventura, CA : Seaview Publishing, c1998.</t>
        </is>
      </c>
      <c r="M21" t="inlineStr">
        <is>
          <t>1998</t>
        </is>
      </c>
      <c r="O21" t="inlineStr">
        <is>
          <t>eng</t>
        </is>
      </c>
      <c r="P21" t="inlineStr">
        <is>
          <t>cau</t>
        </is>
      </c>
      <c r="R21" t="inlineStr">
        <is>
          <t xml:space="preserve">TD </t>
        </is>
      </c>
      <c r="S21" t="n">
        <v>1</v>
      </c>
      <c r="T21" t="n">
        <v>1</v>
      </c>
      <c r="U21" t="inlineStr">
        <is>
          <t>2002-10-15</t>
        </is>
      </c>
      <c r="V21" t="inlineStr">
        <is>
          <t>2002-10-15</t>
        </is>
      </c>
      <c r="W21" t="inlineStr">
        <is>
          <t>1999-10-07</t>
        </is>
      </c>
      <c r="X21" t="inlineStr">
        <is>
          <t>1999-10-07</t>
        </is>
      </c>
      <c r="Y21" t="n">
        <v>341</v>
      </c>
      <c r="Z21" t="n">
        <v>318</v>
      </c>
      <c r="AA21" t="n">
        <v>318</v>
      </c>
      <c r="AB21" t="n">
        <v>3</v>
      </c>
      <c r="AC21" t="n">
        <v>3</v>
      </c>
      <c r="AD21" t="n">
        <v>16</v>
      </c>
      <c r="AE21" t="n">
        <v>16</v>
      </c>
      <c r="AF21" t="n">
        <v>7</v>
      </c>
      <c r="AG21" t="n">
        <v>7</v>
      </c>
      <c r="AH21" t="n">
        <v>3</v>
      </c>
      <c r="AI21" t="n">
        <v>3</v>
      </c>
      <c r="AJ21" t="n">
        <v>8</v>
      </c>
      <c r="AK21" t="n">
        <v>8</v>
      </c>
      <c r="AL21" t="n">
        <v>2</v>
      </c>
      <c r="AM21" t="n">
        <v>2</v>
      </c>
      <c r="AN21" t="n">
        <v>0</v>
      </c>
      <c r="AO21" t="n">
        <v>0</v>
      </c>
      <c r="AP21" t="inlineStr">
        <is>
          <t>No</t>
        </is>
      </c>
      <c r="AQ21" t="inlineStr">
        <is>
          <t>No</t>
        </is>
      </c>
      <c r="AS21">
        <f>HYPERLINK("https://creighton-primo.hosted.exlibrisgroup.com/primo-explore/search?tab=default_tab&amp;search_scope=EVERYTHING&amp;vid=01CRU&amp;lang=en_US&amp;offset=0&amp;query=any,contains,991003021089702656","Catalog Record")</f>
        <v/>
      </c>
      <c r="AT21">
        <f>HYPERLINK("http://www.worldcat.org/oclc/41159152","WorldCat Record")</f>
        <v/>
      </c>
      <c r="AU21" t="inlineStr">
        <is>
          <t>26467126:eng</t>
        </is>
      </c>
      <c r="AV21" t="inlineStr">
        <is>
          <t>41159152</t>
        </is>
      </c>
      <c r="AW21" t="inlineStr">
        <is>
          <t>991003021089702656</t>
        </is>
      </c>
      <c r="AX21" t="inlineStr">
        <is>
          <t>991003021089702656</t>
        </is>
      </c>
      <c r="AY21" t="inlineStr">
        <is>
          <t>2259726150002656</t>
        </is>
      </c>
      <c r="AZ21" t="inlineStr">
        <is>
          <t>BOOK</t>
        </is>
      </c>
      <c r="BB21" t="inlineStr">
        <is>
          <t>9780964056527</t>
        </is>
      </c>
      <c r="BC21" t="inlineStr">
        <is>
          <t>32285003593323</t>
        </is>
      </c>
      <c r="BD21" t="inlineStr">
        <is>
          <t>893692297</t>
        </is>
      </c>
    </row>
    <row r="22">
      <c r="A22" t="inlineStr">
        <is>
          <t>No</t>
        </is>
      </c>
      <c r="B22" t="inlineStr">
        <is>
          <t>TD883 .S83 1976, v...</t>
        </is>
      </c>
      <c r="C22" t="inlineStr">
        <is>
          <t>0                      TD 0883000S  83          1976                                        v...</t>
        </is>
      </c>
      <c r="D22" t="inlineStr">
        <is>
          <t>Air pollution / edited by Arthur C. Stern.</t>
        </is>
      </c>
      <c r="E22" t="inlineStr">
        <is>
          <t>V.3</t>
        </is>
      </c>
      <c r="F22" t="inlineStr">
        <is>
          <t>Yes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K22" t="inlineStr">
        <is>
          <t>Stern, Arthur C.</t>
        </is>
      </c>
      <c r="L22" t="inlineStr">
        <is>
          <t>New York : Academic Press, 1976-&lt;1986 &gt;</t>
        </is>
      </c>
      <c r="M22" t="inlineStr">
        <is>
          <t>1976</t>
        </is>
      </c>
      <c r="N22" t="inlineStr">
        <is>
          <t>3d. ed.</t>
        </is>
      </c>
      <c r="O22" t="inlineStr">
        <is>
          <t>eng</t>
        </is>
      </c>
      <c r="P22" t="inlineStr">
        <is>
          <t>nyu</t>
        </is>
      </c>
      <c r="Q22" t="inlineStr">
        <is>
          <t>Environmental sciences</t>
        </is>
      </c>
      <c r="R22" t="inlineStr">
        <is>
          <t xml:space="preserve">TD </t>
        </is>
      </c>
      <c r="S22" t="n">
        <v>0</v>
      </c>
      <c r="T22" t="n">
        <v>7</v>
      </c>
      <c r="V22" t="inlineStr">
        <is>
          <t>1995-04-13</t>
        </is>
      </c>
      <c r="W22" t="inlineStr">
        <is>
          <t>1993-05-20</t>
        </is>
      </c>
      <c r="X22" t="inlineStr">
        <is>
          <t>1993-05-20</t>
        </is>
      </c>
      <c r="Y22" t="n">
        <v>480</v>
      </c>
      <c r="Z22" t="n">
        <v>387</v>
      </c>
      <c r="AA22" t="n">
        <v>389</v>
      </c>
      <c r="AB22" t="n">
        <v>2</v>
      </c>
      <c r="AC22" t="n">
        <v>2</v>
      </c>
      <c r="AD22" t="n">
        <v>14</v>
      </c>
      <c r="AE22" t="n">
        <v>14</v>
      </c>
      <c r="AF22" t="n">
        <v>3</v>
      </c>
      <c r="AG22" t="n">
        <v>3</v>
      </c>
      <c r="AH22" t="n">
        <v>4</v>
      </c>
      <c r="AI22" t="n">
        <v>4</v>
      </c>
      <c r="AJ22" t="n">
        <v>7</v>
      </c>
      <c r="AK22" t="n">
        <v>7</v>
      </c>
      <c r="AL22" t="n">
        <v>1</v>
      </c>
      <c r="AM22" t="n">
        <v>1</v>
      </c>
      <c r="AN22" t="n">
        <v>3</v>
      </c>
      <c r="AO22" t="n">
        <v>3</v>
      </c>
      <c r="AP22" t="inlineStr">
        <is>
          <t>No</t>
        </is>
      </c>
      <c r="AQ22" t="inlineStr">
        <is>
          <t>Yes</t>
        </is>
      </c>
      <c r="AR22">
        <f>HYPERLINK("http://catalog.hathitrust.org/Record/000768690","HathiTrust Record")</f>
        <v/>
      </c>
      <c r="AS22">
        <f>HYPERLINK("https://creighton-primo.hosted.exlibrisgroup.com/primo-explore/search?tab=default_tab&amp;search_scope=EVERYTHING&amp;vid=01CRU&amp;lang=en_US&amp;offset=0&amp;query=any,contains,991004320889702656","Catalog Record")</f>
        <v/>
      </c>
      <c r="AT22">
        <f>HYPERLINK("http://www.worldcat.org/oclc/3017782","WorldCat Record")</f>
        <v/>
      </c>
      <c r="AU22" t="inlineStr">
        <is>
          <t>5090454012:eng</t>
        </is>
      </c>
      <c r="AV22" t="inlineStr">
        <is>
          <t>3017782</t>
        </is>
      </c>
      <c r="AW22" t="inlineStr">
        <is>
          <t>991004320889702656</t>
        </is>
      </c>
      <c r="AX22" t="inlineStr">
        <is>
          <t>991004320889702656</t>
        </is>
      </c>
      <c r="AY22" t="inlineStr">
        <is>
          <t>2269988440002656</t>
        </is>
      </c>
      <c r="AZ22" t="inlineStr">
        <is>
          <t>BOOK</t>
        </is>
      </c>
      <c r="BB22" t="inlineStr">
        <is>
          <t>9780126666014</t>
        </is>
      </c>
      <c r="BC22" t="inlineStr">
        <is>
          <t>32285001666303</t>
        </is>
      </c>
      <c r="BD22" t="inlineStr">
        <is>
          <t>893235336</t>
        </is>
      </c>
    </row>
    <row r="23">
      <c r="A23" t="inlineStr">
        <is>
          <t>No</t>
        </is>
      </c>
      <c r="B23" t="inlineStr">
        <is>
          <t>TD883 .S83 1976, v...</t>
        </is>
      </c>
      <c r="C23" t="inlineStr">
        <is>
          <t>0                      TD 0883000S  83          1976                                        v...</t>
        </is>
      </c>
      <c r="D23" t="inlineStr">
        <is>
          <t>Air pollution / edited by Arthur C. Stern.</t>
        </is>
      </c>
      <c r="E23" t="inlineStr">
        <is>
          <t>V.4</t>
        </is>
      </c>
      <c r="F23" t="inlineStr">
        <is>
          <t>Yes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K23" t="inlineStr">
        <is>
          <t>Stern, Arthur C.</t>
        </is>
      </c>
      <c r="L23" t="inlineStr">
        <is>
          <t>New York : Academic Press, 1976-&lt;1986 &gt;</t>
        </is>
      </c>
      <c r="M23" t="inlineStr">
        <is>
          <t>1976</t>
        </is>
      </c>
      <c r="N23" t="inlineStr">
        <is>
          <t>3d. ed.</t>
        </is>
      </c>
      <c r="O23" t="inlineStr">
        <is>
          <t>eng</t>
        </is>
      </c>
      <c r="P23" t="inlineStr">
        <is>
          <t>nyu</t>
        </is>
      </c>
      <c r="Q23" t="inlineStr">
        <is>
          <t>Environmental sciences</t>
        </is>
      </c>
      <c r="R23" t="inlineStr">
        <is>
          <t xml:space="preserve">TD </t>
        </is>
      </c>
      <c r="S23" t="n">
        <v>1</v>
      </c>
      <c r="T23" t="n">
        <v>7</v>
      </c>
      <c r="U23" t="inlineStr">
        <is>
          <t>1994-03-02</t>
        </is>
      </c>
      <c r="V23" t="inlineStr">
        <is>
          <t>1995-04-13</t>
        </is>
      </c>
      <c r="W23" t="inlineStr">
        <is>
          <t>1993-05-20</t>
        </is>
      </c>
      <c r="X23" t="inlineStr">
        <is>
          <t>1993-05-20</t>
        </is>
      </c>
      <c r="Y23" t="n">
        <v>480</v>
      </c>
      <c r="Z23" t="n">
        <v>387</v>
      </c>
      <c r="AA23" t="n">
        <v>389</v>
      </c>
      <c r="AB23" t="n">
        <v>2</v>
      </c>
      <c r="AC23" t="n">
        <v>2</v>
      </c>
      <c r="AD23" t="n">
        <v>14</v>
      </c>
      <c r="AE23" t="n">
        <v>14</v>
      </c>
      <c r="AF23" t="n">
        <v>3</v>
      </c>
      <c r="AG23" t="n">
        <v>3</v>
      </c>
      <c r="AH23" t="n">
        <v>4</v>
      </c>
      <c r="AI23" t="n">
        <v>4</v>
      </c>
      <c r="AJ23" t="n">
        <v>7</v>
      </c>
      <c r="AK23" t="n">
        <v>7</v>
      </c>
      <c r="AL23" t="n">
        <v>1</v>
      </c>
      <c r="AM23" t="n">
        <v>1</v>
      </c>
      <c r="AN23" t="n">
        <v>3</v>
      </c>
      <c r="AO23" t="n">
        <v>3</v>
      </c>
      <c r="AP23" t="inlineStr">
        <is>
          <t>No</t>
        </is>
      </c>
      <c r="AQ23" t="inlineStr">
        <is>
          <t>Yes</t>
        </is>
      </c>
      <c r="AR23">
        <f>HYPERLINK("http://catalog.hathitrust.org/Record/000768690","HathiTrust Record")</f>
        <v/>
      </c>
      <c r="AS23">
        <f>HYPERLINK("https://creighton-primo.hosted.exlibrisgroup.com/primo-explore/search?tab=default_tab&amp;search_scope=EVERYTHING&amp;vid=01CRU&amp;lang=en_US&amp;offset=0&amp;query=any,contains,991004320889702656","Catalog Record")</f>
        <v/>
      </c>
      <c r="AT23">
        <f>HYPERLINK("http://www.worldcat.org/oclc/3017782","WorldCat Record")</f>
        <v/>
      </c>
      <c r="AU23" t="inlineStr">
        <is>
          <t>5090454012:eng</t>
        </is>
      </c>
      <c r="AV23" t="inlineStr">
        <is>
          <t>3017782</t>
        </is>
      </c>
      <c r="AW23" t="inlineStr">
        <is>
          <t>991004320889702656</t>
        </is>
      </c>
      <c r="AX23" t="inlineStr">
        <is>
          <t>991004320889702656</t>
        </is>
      </c>
      <c r="AY23" t="inlineStr">
        <is>
          <t>2269988440002656</t>
        </is>
      </c>
      <c r="AZ23" t="inlineStr">
        <is>
          <t>BOOK</t>
        </is>
      </c>
      <c r="BB23" t="inlineStr">
        <is>
          <t>9780126666014</t>
        </is>
      </c>
      <c r="BC23" t="inlineStr">
        <is>
          <t>32285001666311</t>
        </is>
      </c>
      <c r="BD23" t="inlineStr">
        <is>
          <t>893253546</t>
        </is>
      </c>
    </row>
    <row r="24">
      <c r="A24" t="inlineStr">
        <is>
          <t>No</t>
        </is>
      </c>
      <c r="B24" t="inlineStr">
        <is>
          <t>TD883 .S83 1976, v...</t>
        </is>
      </c>
      <c r="C24" t="inlineStr">
        <is>
          <t>0                      TD 0883000S  83          1976                                        v...</t>
        </is>
      </c>
      <c r="D24" t="inlineStr">
        <is>
          <t>Air pollution / edited by Arthur C. Stern.</t>
        </is>
      </c>
      <c r="E24" t="inlineStr">
        <is>
          <t>V.5</t>
        </is>
      </c>
      <c r="F24" t="inlineStr">
        <is>
          <t>Yes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Stern, Arthur C.</t>
        </is>
      </c>
      <c r="L24" t="inlineStr">
        <is>
          <t>New York : Academic Press, 1976-&lt;1986 &gt;</t>
        </is>
      </c>
      <c r="M24" t="inlineStr">
        <is>
          <t>1976</t>
        </is>
      </c>
      <c r="N24" t="inlineStr">
        <is>
          <t>3d. ed.</t>
        </is>
      </c>
      <c r="O24" t="inlineStr">
        <is>
          <t>eng</t>
        </is>
      </c>
      <c r="P24" t="inlineStr">
        <is>
          <t>nyu</t>
        </is>
      </c>
      <c r="Q24" t="inlineStr">
        <is>
          <t>Environmental sciences</t>
        </is>
      </c>
      <c r="R24" t="inlineStr">
        <is>
          <t xml:space="preserve">TD </t>
        </is>
      </c>
      <c r="S24" t="n">
        <v>1</v>
      </c>
      <c r="T24" t="n">
        <v>7</v>
      </c>
      <c r="U24" t="inlineStr">
        <is>
          <t>1995-04-13</t>
        </is>
      </c>
      <c r="V24" t="inlineStr">
        <is>
          <t>1995-04-13</t>
        </is>
      </c>
      <c r="W24" t="inlineStr">
        <is>
          <t>1992-11-30</t>
        </is>
      </c>
      <c r="X24" t="inlineStr">
        <is>
          <t>1993-05-20</t>
        </is>
      </c>
      <c r="Y24" t="n">
        <v>480</v>
      </c>
      <c r="Z24" t="n">
        <v>387</v>
      </c>
      <c r="AA24" t="n">
        <v>389</v>
      </c>
      <c r="AB24" t="n">
        <v>2</v>
      </c>
      <c r="AC24" t="n">
        <v>2</v>
      </c>
      <c r="AD24" t="n">
        <v>14</v>
      </c>
      <c r="AE24" t="n">
        <v>14</v>
      </c>
      <c r="AF24" t="n">
        <v>3</v>
      </c>
      <c r="AG24" t="n">
        <v>3</v>
      </c>
      <c r="AH24" t="n">
        <v>4</v>
      </c>
      <c r="AI24" t="n">
        <v>4</v>
      </c>
      <c r="AJ24" t="n">
        <v>7</v>
      </c>
      <c r="AK24" t="n">
        <v>7</v>
      </c>
      <c r="AL24" t="n">
        <v>1</v>
      </c>
      <c r="AM24" t="n">
        <v>1</v>
      </c>
      <c r="AN24" t="n">
        <v>3</v>
      </c>
      <c r="AO24" t="n">
        <v>3</v>
      </c>
      <c r="AP24" t="inlineStr">
        <is>
          <t>No</t>
        </is>
      </c>
      <c r="AQ24" t="inlineStr">
        <is>
          <t>Yes</t>
        </is>
      </c>
      <c r="AR24">
        <f>HYPERLINK("http://catalog.hathitrust.org/Record/000768690","HathiTrust Record")</f>
        <v/>
      </c>
      <c r="AS24">
        <f>HYPERLINK("https://creighton-primo.hosted.exlibrisgroup.com/primo-explore/search?tab=default_tab&amp;search_scope=EVERYTHING&amp;vid=01CRU&amp;lang=en_US&amp;offset=0&amp;query=any,contains,991004320889702656","Catalog Record")</f>
        <v/>
      </c>
      <c r="AT24">
        <f>HYPERLINK("http://www.worldcat.org/oclc/3017782","WorldCat Record")</f>
        <v/>
      </c>
      <c r="AU24" t="inlineStr">
        <is>
          <t>5090454012:eng</t>
        </is>
      </c>
      <c r="AV24" t="inlineStr">
        <is>
          <t>3017782</t>
        </is>
      </c>
      <c r="AW24" t="inlineStr">
        <is>
          <t>991004320889702656</t>
        </is>
      </c>
      <c r="AX24" t="inlineStr">
        <is>
          <t>991004320889702656</t>
        </is>
      </c>
      <c r="AY24" t="inlineStr">
        <is>
          <t>2269988440002656</t>
        </is>
      </c>
      <c r="AZ24" t="inlineStr">
        <is>
          <t>BOOK</t>
        </is>
      </c>
      <c r="BB24" t="inlineStr">
        <is>
          <t>9780126666014</t>
        </is>
      </c>
      <c r="BC24" t="inlineStr">
        <is>
          <t>32285001409845</t>
        </is>
      </c>
      <c r="BD24" t="inlineStr">
        <is>
          <t>893253545</t>
        </is>
      </c>
    </row>
    <row r="25">
      <c r="A25" t="inlineStr">
        <is>
          <t>No</t>
        </is>
      </c>
      <c r="B25" t="inlineStr">
        <is>
          <t>TD883.1 .M4 1990</t>
        </is>
      </c>
      <c r="C25" t="inlineStr">
        <is>
          <t>0                      TD 0883100M  4           1990</t>
        </is>
      </c>
      <c r="D25" t="inlineStr">
        <is>
          <t>Meteorological aspects of emergency response / Mark L. Kramer, William M. Porch, editors.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L25" t="inlineStr">
        <is>
          <t>Boston, Mass. : American Meteorological Society, c1990.</t>
        </is>
      </c>
      <c r="M25" t="inlineStr">
        <is>
          <t>1990</t>
        </is>
      </c>
      <c r="O25" t="inlineStr">
        <is>
          <t>eng</t>
        </is>
      </c>
      <c r="P25" t="inlineStr">
        <is>
          <t>mau</t>
        </is>
      </c>
      <c r="R25" t="inlineStr">
        <is>
          <t xml:space="preserve">TD </t>
        </is>
      </c>
      <c r="S25" t="n">
        <v>1</v>
      </c>
      <c r="T25" t="n">
        <v>1</v>
      </c>
      <c r="U25" t="inlineStr">
        <is>
          <t>2005-05-03</t>
        </is>
      </c>
      <c r="V25" t="inlineStr">
        <is>
          <t>2005-05-03</t>
        </is>
      </c>
      <c r="W25" t="inlineStr">
        <is>
          <t>2005-05-03</t>
        </is>
      </c>
      <c r="X25" t="inlineStr">
        <is>
          <t>2005-05-03</t>
        </is>
      </c>
      <c r="Y25" t="n">
        <v>73</v>
      </c>
      <c r="Z25" t="n">
        <v>56</v>
      </c>
      <c r="AA25" t="n">
        <v>57</v>
      </c>
      <c r="AB25" t="n">
        <v>1</v>
      </c>
      <c r="AC25" t="n">
        <v>1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inlineStr">
        <is>
          <t>No</t>
        </is>
      </c>
      <c r="AQ25" t="inlineStr">
        <is>
          <t>Yes</t>
        </is>
      </c>
      <c r="AR25">
        <f>HYPERLINK("http://catalog.hathitrust.org/Record/008342242","HathiTrust Record")</f>
        <v/>
      </c>
      <c r="AS25">
        <f>HYPERLINK("https://creighton-primo.hosted.exlibrisgroup.com/primo-explore/search?tab=default_tab&amp;search_scope=EVERYTHING&amp;vid=01CRU&amp;lang=en_US&amp;offset=0&amp;query=any,contains,991004522139702656","Catalog Record")</f>
        <v/>
      </c>
      <c r="AT25">
        <f>HYPERLINK("http://www.worldcat.org/oclc/22173388","WorldCat Record")</f>
        <v/>
      </c>
      <c r="AU25" t="inlineStr">
        <is>
          <t>23314943:eng</t>
        </is>
      </c>
      <c r="AV25" t="inlineStr">
        <is>
          <t>22173388</t>
        </is>
      </c>
      <c r="AW25" t="inlineStr">
        <is>
          <t>991004522139702656</t>
        </is>
      </c>
      <c r="AX25" t="inlineStr">
        <is>
          <t>991004522139702656</t>
        </is>
      </c>
      <c r="AY25" t="inlineStr">
        <is>
          <t>2256448310002656</t>
        </is>
      </c>
      <c r="AZ25" t="inlineStr">
        <is>
          <t>BOOK</t>
        </is>
      </c>
      <c r="BB25" t="inlineStr">
        <is>
          <t>9781878220004</t>
        </is>
      </c>
      <c r="BC25" t="inlineStr">
        <is>
          <t>32285005034722</t>
        </is>
      </c>
      <c r="BD25" t="inlineStr">
        <is>
          <t>893794955</t>
        </is>
      </c>
    </row>
    <row r="26">
      <c r="A26" t="inlineStr">
        <is>
          <t>No</t>
        </is>
      </c>
      <c r="B26" t="inlineStr">
        <is>
          <t>TF140.K9 A3</t>
        </is>
      </c>
      <c r="C26" t="inlineStr">
        <is>
          <t>0                      TF 0140000K  9                  A  3</t>
        </is>
      </c>
      <c r="D26" t="inlineStr">
        <is>
          <t>End of track, by James H. Kyner as told to Hawthorne Daniel. With an introd. by James C. Olson.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K26" t="inlineStr">
        <is>
          <t>Kyner, James Henry, 1846-</t>
        </is>
      </c>
      <c r="L26" t="inlineStr">
        <is>
          <t>[Lincoln] University of Nebraska Press, 1960 [c1937]</t>
        </is>
      </c>
      <c r="M26" t="inlineStr">
        <is>
          <t>1960</t>
        </is>
      </c>
      <c r="O26" t="inlineStr">
        <is>
          <t>eng</t>
        </is>
      </c>
      <c r="P26" t="inlineStr">
        <is>
          <t xml:space="preserve">xx </t>
        </is>
      </c>
      <c r="Q26" t="inlineStr">
        <is>
          <t>A Bison book, BB101.</t>
        </is>
      </c>
      <c r="R26" t="inlineStr">
        <is>
          <t xml:space="preserve">TF </t>
        </is>
      </c>
      <c r="S26" t="n">
        <v>0</v>
      </c>
      <c r="T26" t="n">
        <v>0</v>
      </c>
      <c r="U26" t="inlineStr">
        <is>
          <t>2009-01-09</t>
        </is>
      </c>
      <c r="V26" t="inlineStr">
        <is>
          <t>2009-01-09</t>
        </is>
      </c>
      <c r="W26" t="inlineStr">
        <is>
          <t>1997-08-14</t>
        </is>
      </c>
      <c r="X26" t="inlineStr">
        <is>
          <t>1997-08-14</t>
        </is>
      </c>
      <c r="Y26" t="n">
        <v>180</v>
      </c>
      <c r="Z26" t="n">
        <v>176</v>
      </c>
      <c r="AA26" t="n">
        <v>325</v>
      </c>
      <c r="AB26" t="n">
        <v>19</v>
      </c>
      <c r="AC26" t="n">
        <v>23</v>
      </c>
      <c r="AD26" t="n">
        <v>11</v>
      </c>
      <c r="AE26" t="n">
        <v>17</v>
      </c>
      <c r="AF26" t="n">
        <v>0</v>
      </c>
      <c r="AG26" t="n">
        <v>2</v>
      </c>
      <c r="AH26" t="n">
        <v>1</v>
      </c>
      <c r="AI26" t="n">
        <v>2</v>
      </c>
      <c r="AJ26" t="n">
        <v>3</v>
      </c>
      <c r="AK26" t="n">
        <v>6</v>
      </c>
      <c r="AL26" t="n">
        <v>7</v>
      </c>
      <c r="AM26" t="n">
        <v>9</v>
      </c>
      <c r="AN26" t="n">
        <v>0</v>
      </c>
      <c r="AO26" t="n">
        <v>0</v>
      </c>
      <c r="AP26" t="inlineStr">
        <is>
          <t>No</t>
        </is>
      </c>
      <c r="AQ26" t="inlineStr">
        <is>
          <t>No</t>
        </is>
      </c>
      <c r="AS26">
        <f>HYPERLINK("https://creighton-primo.hosted.exlibrisgroup.com/primo-explore/search?tab=default_tab&amp;search_scope=EVERYTHING&amp;vid=01CRU&amp;lang=en_US&amp;offset=0&amp;query=any,contains,991003683769702656","Catalog Record")</f>
        <v/>
      </c>
      <c r="AT26">
        <f>HYPERLINK("http://www.worldcat.org/oclc/1311186","WorldCat Record")</f>
        <v/>
      </c>
      <c r="AU26" t="inlineStr">
        <is>
          <t>2182514:eng</t>
        </is>
      </c>
      <c r="AV26" t="inlineStr">
        <is>
          <t>1311186</t>
        </is>
      </c>
      <c r="AW26" t="inlineStr">
        <is>
          <t>991003683769702656</t>
        </is>
      </c>
      <c r="AX26" t="inlineStr">
        <is>
          <t>991003683769702656</t>
        </is>
      </c>
      <c r="AY26" t="inlineStr">
        <is>
          <t>2258822270002656</t>
        </is>
      </c>
      <c r="AZ26" t="inlineStr">
        <is>
          <t>BOOK</t>
        </is>
      </c>
      <c r="BC26" t="inlineStr">
        <is>
          <t>32285003140513</t>
        </is>
      </c>
      <c r="BD26" t="inlineStr">
        <is>
          <t>893505869</t>
        </is>
      </c>
    </row>
    <row r="27">
      <c r="A27" t="inlineStr">
        <is>
          <t>No</t>
        </is>
      </c>
      <c r="B27" t="inlineStr">
        <is>
          <t>TG25.N53 T7 1979</t>
        </is>
      </c>
      <c r="C27" t="inlineStr">
        <is>
          <t>0                      TG 0025000N  53                 T  7           1979</t>
        </is>
      </c>
      <c r="D27" t="inlineStr">
        <is>
          <t>Brooklyn Bridge : fact and symbol / Alan Trachtenberg.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Trachtenberg, Alan.</t>
        </is>
      </c>
      <c r="L27" t="inlineStr">
        <is>
          <t>Chicago : University of Chicago Press, 1979.</t>
        </is>
      </c>
      <c r="M27" t="inlineStr">
        <is>
          <t>1979</t>
        </is>
      </c>
      <c r="N27" t="inlineStr">
        <is>
          <t>Phoenix ed.</t>
        </is>
      </c>
      <c r="O27" t="inlineStr">
        <is>
          <t>eng</t>
        </is>
      </c>
      <c r="P27" t="inlineStr">
        <is>
          <t>ilu</t>
        </is>
      </c>
      <c r="Q27" t="inlineStr">
        <is>
          <t>A Phoenix book ; P828</t>
        </is>
      </c>
      <c r="R27" t="inlineStr">
        <is>
          <t xml:space="preserve">TG </t>
        </is>
      </c>
      <c r="S27" t="n">
        <v>3</v>
      </c>
      <c r="T27" t="n">
        <v>3</v>
      </c>
      <c r="U27" t="inlineStr">
        <is>
          <t>2001-08-31</t>
        </is>
      </c>
      <c r="V27" t="inlineStr">
        <is>
          <t>2001-08-31</t>
        </is>
      </c>
      <c r="W27" t="inlineStr">
        <is>
          <t>1993-05-20</t>
        </is>
      </c>
      <c r="X27" t="inlineStr">
        <is>
          <t>1993-05-20</t>
        </is>
      </c>
      <c r="Y27" t="n">
        <v>436</v>
      </c>
      <c r="Z27" t="n">
        <v>377</v>
      </c>
      <c r="AA27" t="n">
        <v>802</v>
      </c>
      <c r="AB27" t="n">
        <v>2</v>
      </c>
      <c r="AC27" t="n">
        <v>4</v>
      </c>
      <c r="AD27" t="n">
        <v>19</v>
      </c>
      <c r="AE27" t="n">
        <v>36</v>
      </c>
      <c r="AF27" t="n">
        <v>8</v>
      </c>
      <c r="AG27" t="n">
        <v>15</v>
      </c>
      <c r="AH27" t="n">
        <v>5</v>
      </c>
      <c r="AI27" t="n">
        <v>8</v>
      </c>
      <c r="AJ27" t="n">
        <v>9</v>
      </c>
      <c r="AK27" t="n">
        <v>18</v>
      </c>
      <c r="AL27" t="n">
        <v>1</v>
      </c>
      <c r="AM27" t="n">
        <v>3</v>
      </c>
      <c r="AN27" t="n">
        <v>0</v>
      </c>
      <c r="AO27" t="n">
        <v>0</v>
      </c>
      <c r="AP27" t="inlineStr">
        <is>
          <t>No</t>
        </is>
      </c>
      <c r="AQ27" t="inlineStr">
        <is>
          <t>No</t>
        </is>
      </c>
      <c r="AS27">
        <f>HYPERLINK("https://creighton-primo.hosted.exlibrisgroup.com/primo-explore/search?tab=default_tab&amp;search_scope=EVERYTHING&amp;vid=01CRU&amp;lang=en_US&amp;offset=0&amp;query=any,contains,991004685849702656","Catalog Record")</f>
        <v/>
      </c>
      <c r="AT27">
        <f>HYPERLINK("http://www.worldcat.org/oclc/4592772","WorldCat Record")</f>
        <v/>
      </c>
      <c r="AU27" t="inlineStr">
        <is>
          <t>419428:eng</t>
        </is>
      </c>
      <c r="AV27" t="inlineStr">
        <is>
          <t>4592772</t>
        </is>
      </c>
      <c r="AW27" t="inlineStr">
        <is>
          <t>991004685849702656</t>
        </is>
      </c>
      <c r="AX27" t="inlineStr">
        <is>
          <t>991004685849702656</t>
        </is>
      </c>
      <c r="AY27" t="inlineStr">
        <is>
          <t>2272474240002656</t>
        </is>
      </c>
      <c r="AZ27" t="inlineStr">
        <is>
          <t>BOOK</t>
        </is>
      </c>
      <c r="BB27" t="inlineStr">
        <is>
          <t>9780226811154</t>
        </is>
      </c>
      <c r="BC27" t="inlineStr">
        <is>
          <t>32285001666444</t>
        </is>
      </c>
      <c r="BD27" t="inlineStr">
        <is>
          <t>893895348</t>
        </is>
      </c>
    </row>
    <row r="28">
      <c r="A28" t="inlineStr">
        <is>
          <t>No</t>
        </is>
      </c>
      <c r="B28" t="inlineStr">
        <is>
          <t>TH9445.L5 M67 1979</t>
        </is>
      </c>
      <c r="C28" t="inlineStr">
        <is>
          <t>0                      TH 9445000L  5                  M  67          1979</t>
        </is>
      </c>
      <c r="D28" t="inlineStr">
        <is>
          <t>Managing the library fire risk / by John Morris.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Morris, John, 1912-</t>
        </is>
      </c>
      <c r="L28" t="inlineStr">
        <is>
          <t>[Berkeley] : University of California, 1979.</t>
        </is>
      </c>
      <c r="M28" t="inlineStr">
        <is>
          <t>1979</t>
        </is>
      </c>
      <c r="N28" t="inlineStr">
        <is>
          <t>2d ed.</t>
        </is>
      </c>
      <c r="O28" t="inlineStr">
        <is>
          <t>eng</t>
        </is>
      </c>
      <c r="P28" t="inlineStr">
        <is>
          <t>cau</t>
        </is>
      </c>
      <c r="R28" t="inlineStr">
        <is>
          <t xml:space="preserve">TH </t>
        </is>
      </c>
      <c r="S28" t="n">
        <v>2</v>
      </c>
      <c r="T28" t="n">
        <v>2</v>
      </c>
      <c r="U28" t="inlineStr">
        <is>
          <t>1997-11-02</t>
        </is>
      </c>
      <c r="V28" t="inlineStr">
        <is>
          <t>1997-11-02</t>
        </is>
      </c>
      <c r="W28" t="inlineStr">
        <is>
          <t>1993-05-21</t>
        </is>
      </c>
      <c r="X28" t="inlineStr">
        <is>
          <t>1993-05-21</t>
        </is>
      </c>
      <c r="Y28" t="n">
        <v>697</v>
      </c>
      <c r="Z28" t="n">
        <v>538</v>
      </c>
      <c r="AA28" t="n">
        <v>624</v>
      </c>
      <c r="AB28" t="n">
        <v>3</v>
      </c>
      <c r="AC28" t="n">
        <v>4</v>
      </c>
      <c r="AD28" t="n">
        <v>16</v>
      </c>
      <c r="AE28" t="n">
        <v>16</v>
      </c>
      <c r="AF28" t="n">
        <v>4</v>
      </c>
      <c r="AG28" t="n">
        <v>4</v>
      </c>
      <c r="AH28" t="n">
        <v>1</v>
      </c>
      <c r="AI28" t="n">
        <v>1</v>
      </c>
      <c r="AJ28" t="n">
        <v>5</v>
      </c>
      <c r="AK28" t="n">
        <v>5</v>
      </c>
      <c r="AL28" t="n">
        <v>2</v>
      </c>
      <c r="AM28" t="n">
        <v>2</v>
      </c>
      <c r="AN28" t="n">
        <v>6</v>
      </c>
      <c r="AO28" t="n">
        <v>6</v>
      </c>
      <c r="AP28" t="inlineStr">
        <is>
          <t>No</t>
        </is>
      </c>
      <c r="AQ28" t="inlineStr">
        <is>
          <t>Yes</t>
        </is>
      </c>
      <c r="AR28">
        <f>HYPERLINK("http://catalog.hathitrust.org/Record/000105632","HathiTrust Record")</f>
        <v/>
      </c>
      <c r="AS28">
        <f>HYPERLINK("https://creighton-primo.hosted.exlibrisgroup.com/primo-explore/search?tab=default_tab&amp;search_scope=EVERYTHING&amp;vid=01CRU&amp;lang=en_US&amp;offset=0&amp;query=any,contains,991004666889702656","Catalog Record")</f>
        <v/>
      </c>
      <c r="AT28">
        <f>HYPERLINK("http://www.worldcat.org/oclc/4504506","WorldCat Record")</f>
        <v/>
      </c>
      <c r="AU28" t="inlineStr">
        <is>
          <t>565709:eng</t>
        </is>
      </c>
      <c r="AV28" t="inlineStr">
        <is>
          <t>4504506</t>
        </is>
      </c>
      <c r="AW28" t="inlineStr">
        <is>
          <t>991004666889702656</t>
        </is>
      </c>
      <c r="AX28" t="inlineStr">
        <is>
          <t>991004666889702656</t>
        </is>
      </c>
      <c r="AY28" t="inlineStr">
        <is>
          <t>2264802660002656</t>
        </is>
      </c>
      <c r="AZ28" t="inlineStr">
        <is>
          <t>BOOK</t>
        </is>
      </c>
      <c r="BB28" t="inlineStr">
        <is>
          <t>9780960227815</t>
        </is>
      </c>
      <c r="BC28" t="inlineStr">
        <is>
          <t>32285001666618</t>
        </is>
      </c>
      <c r="BD28" t="inlineStr">
        <is>
          <t>893436572</t>
        </is>
      </c>
    </row>
    <row r="29">
      <c r="A29" t="inlineStr">
        <is>
          <t>No</t>
        </is>
      </c>
      <c r="B29" t="inlineStr">
        <is>
          <t>TJ163.2 .I55 1981</t>
        </is>
      </c>
      <c r="C29" t="inlineStr">
        <is>
          <t>0                      TJ 0163200I  55          1981</t>
        </is>
      </c>
      <c r="D29" t="inlineStr">
        <is>
          <t>Energy in a finite world : report / by the Energy Systems Program Group of the International Institute for Applied Systems Analysis ; Wolf Häfele, program leader ; written by Jeanne Anderer with Alan McDonald and Nebojsa Nakicenovic.</t>
        </is>
      </c>
      <c r="E29" t="inlineStr">
        <is>
          <t>V.2</t>
        </is>
      </c>
      <c r="F29" t="inlineStr">
        <is>
          <t>Yes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K29" t="inlineStr">
        <is>
          <t>International Institute for Applied Systems Analysis. Energy Systems Program Group.</t>
        </is>
      </c>
      <c r="L29" t="inlineStr">
        <is>
          <t>Cambridge, Mass. : Ballinger Pub. Co., c1981.</t>
        </is>
      </c>
      <c r="M29" t="inlineStr">
        <is>
          <t>1981</t>
        </is>
      </c>
      <c r="O29" t="inlineStr">
        <is>
          <t>eng</t>
        </is>
      </c>
      <c r="P29" t="inlineStr">
        <is>
          <t>mau</t>
        </is>
      </c>
      <c r="R29" t="inlineStr">
        <is>
          <t xml:space="preserve">TJ </t>
        </is>
      </c>
      <c r="S29" t="n">
        <v>0</v>
      </c>
      <c r="T29" t="n">
        <v>2</v>
      </c>
      <c r="V29" t="inlineStr">
        <is>
          <t>2003-09-29</t>
        </is>
      </c>
      <c r="W29" t="inlineStr">
        <is>
          <t>1993-05-21</t>
        </is>
      </c>
      <c r="X29" t="inlineStr">
        <is>
          <t>1993-05-21</t>
        </is>
      </c>
      <c r="Y29" t="n">
        <v>718</v>
      </c>
      <c r="Z29" t="n">
        <v>619</v>
      </c>
      <c r="AA29" t="n">
        <v>625</v>
      </c>
      <c r="AB29" t="n">
        <v>4</v>
      </c>
      <c r="AC29" t="n">
        <v>4</v>
      </c>
      <c r="AD29" t="n">
        <v>24</v>
      </c>
      <c r="AE29" t="n">
        <v>24</v>
      </c>
      <c r="AF29" t="n">
        <v>9</v>
      </c>
      <c r="AG29" t="n">
        <v>9</v>
      </c>
      <c r="AH29" t="n">
        <v>6</v>
      </c>
      <c r="AI29" t="n">
        <v>6</v>
      </c>
      <c r="AJ29" t="n">
        <v>11</v>
      </c>
      <c r="AK29" t="n">
        <v>11</v>
      </c>
      <c r="AL29" t="n">
        <v>3</v>
      </c>
      <c r="AM29" t="n">
        <v>3</v>
      </c>
      <c r="AN29" t="n">
        <v>1</v>
      </c>
      <c r="AO29" t="n">
        <v>1</v>
      </c>
      <c r="AP29" t="inlineStr">
        <is>
          <t>No</t>
        </is>
      </c>
      <c r="AQ29" t="inlineStr">
        <is>
          <t>Yes</t>
        </is>
      </c>
      <c r="AR29">
        <f>HYPERLINK("http://catalog.hathitrust.org/Record/000098153","HathiTrust Record")</f>
        <v/>
      </c>
      <c r="AS29">
        <f>HYPERLINK("https://creighton-primo.hosted.exlibrisgroup.com/primo-explore/search?tab=default_tab&amp;search_scope=EVERYTHING&amp;vid=01CRU&amp;lang=en_US&amp;offset=0&amp;query=any,contains,991005012409702656","Catalog Record")</f>
        <v/>
      </c>
      <c r="AT29">
        <f>HYPERLINK("http://www.worldcat.org/oclc/6603774","WorldCat Record")</f>
        <v/>
      </c>
      <c r="AU29" t="inlineStr">
        <is>
          <t>4714440640:eng</t>
        </is>
      </c>
      <c r="AV29" t="inlineStr">
        <is>
          <t>6603774</t>
        </is>
      </c>
      <c r="AW29" t="inlineStr">
        <is>
          <t>991005012409702656</t>
        </is>
      </c>
      <c r="AX29" t="inlineStr">
        <is>
          <t>991005012409702656</t>
        </is>
      </c>
      <c r="AY29" t="inlineStr">
        <is>
          <t>2254711250002656</t>
        </is>
      </c>
      <c r="AZ29" t="inlineStr">
        <is>
          <t>BOOK</t>
        </is>
      </c>
      <c r="BB29" t="inlineStr">
        <is>
          <t>9780844106427</t>
        </is>
      </c>
      <c r="BC29" t="inlineStr">
        <is>
          <t>32285001666899</t>
        </is>
      </c>
      <c r="BD29" t="inlineStr">
        <is>
          <t>893625348</t>
        </is>
      </c>
    </row>
    <row r="30">
      <c r="A30" t="inlineStr">
        <is>
          <t>No</t>
        </is>
      </c>
      <c r="B30" t="inlineStr">
        <is>
          <t>TJ163.3 .F74</t>
        </is>
      </c>
      <c r="C30" t="inlineStr">
        <is>
          <t>0                      TJ 0163300F  74</t>
        </is>
      </c>
      <c r="D30" t="inlineStr">
        <is>
          <t>The contrasumers; a citizen's guide to resource conservation / by Albert J. Fritsch.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K30" t="inlineStr">
        <is>
          <t>Fritsch, Albert J.</t>
        </is>
      </c>
      <c r="L30" t="inlineStr">
        <is>
          <t>New York : Praeger, 1974.</t>
        </is>
      </c>
      <c r="M30" t="inlineStr">
        <is>
          <t>1974</t>
        </is>
      </c>
      <c r="O30" t="inlineStr">
        <is>
          <t>eng</t>
        </is>
      </c>
      <c r="P30" t="inlineStr">
        <is>
          <t>nyu</t>
        </is>
      </c>
      <c r="R30" t="inlineStr">
        <is>
          <t xml:space="preserve">TJ </t>
        </is>
      </c>
      <c r="S30" t="n">
        <v>0</v>
      </c>
      <c r="T30" t="n">
        <v>0</v>
      </c>
      <c r="U30" t="inlineStr">
        <is>
          <t>2004-01-15</t>
        </is>
      </c>
      <c r="V30" t="inlineStr">
        <is>
          <t>2004-01-15</t>
        </is>
      </c>
      <c r="W30" t="inlineStr">
        <is>
          <t>1993-05-21</t>
        </is>
      </c>
      <c r="X30" t="inlineStr">
        <is>
          <t>1993-05-21</t>
        </is>
      </c>
      <c r="Y30" t="n">
        <v>329</v>
      </c>
      <c r="Z30" t="n">
        <v>311</v>
      </c>
      <c r="AA30" t="n">
        <v>318</v>
      </c>
      <c r="AB30" t="n">
        <v>2</v>
      </c>
      <c r="AC30" t="n">
        <v>2</v>
      </c>
      <c r="AD30" t="n">
        <v>8</v>
      </c>
      <c r="AE30" t="n">
        <v>8</v>
      </c>
      <c r="AF30" t="n">
        <v>1</v>
      </c>
      <c r="AG30" t="n">
        <v>1</v>
      </c>
      <c r="AH30" t="n">
        <v>3</v>
      </c>
      <c r="AI30" t="n">
        <v>3</v>
      </c>
      <c r="AJ30" t="n">
        <v>6</v>
      </c>
      <c r="AK30" t="n">
        <v>6</v>
      </c>
      <c r="AL30" t="n">
        <v>1</v>
      </c>
      <c r="AM30" t="n">
        <v>1</v>
      </c>
      <c r="AN30" t="n">
        <v>0</v>
      </c>
      <c r="AO30" t="n">
        <v>0</v>
      </c>
      <c r="AP30" t="inlineStr">
        <is>
          <t>No</t>
        </is>
      </c>
      <c r="AQ30" t="inlineStr">
        <is>
          <t>Yes</t>
        </is>
      </c>
      <c r="AR30">
        <f>HYPERLINK("http://catalog.hathitrust.org/Record/007412185","HathiTrust Record")</f>
        <v/>
      </c>
      <c r="AS30">
        <f>HYPERLINK("https://creighton-primo.hosted.exlibrisgroup.com/primo-explore/search?tab=default_tab&amp;search_scope=EVERYTHING&amp;vid=01CRU&amp;lang=en_US&amp;offset=0&amp;query=any,contains,991003408899702656","Catalog Record")</f>
        <v/>
      </c>
      <c r="AT30">
        <f>HYPERLINK("http://www.worldcat.org/oclc/947902","WorldCat Record")</f>
        <v/>
      </c>
      <c r="AU30" t="inlineStr">
        <is>
          <t>489913833:eng</t>
        </is>
      </c>
      <c r="AV30" t="inlineStr">
        <is>
          <t>947902</t>
        </is>
      </c>
      <c r="AW30" t="inlineStr">
        <is>
          <t>991003408899702656</t>
        </is>
      </c>
      <c r="AX30" t="inlineStr">
        <is>
          <t>991003408899702656</t>
        </is>
      </c>
      <c r="AY30" t="inlineStr">
        <is>
          <t>2264696890002656</t>
        </is>
      </c>
      <c r="AZ30" t="inlineStr">
        <is>
          <t>BOOK</t>
        </is>
      </c>
      <c r="BB30" t="inlineStr">
        <is>
          <t>9780275101404</t>
        </is>
      </c>
      <c r="BC30" t="inlineStr">
        <is>
          <t>32285001667129</t>
        </is>
      </c>
      <c r="BD30" t="inlineStr">
        <is>
          <t>893416347</t>
        </is>
      </c>
    </row>
    <row r="31">
      <c r="A31" t="inlineStr">
        <is>
          <t>No</t>
        </is>
      </c>
      <c r="B31" t="inlineStr">
        <is>
          <t>TK7885.2 .S57 1987</t>
        </is>
      </c>
      <c r="C31" t="inlineStr">
        <is>
          <t>0                      TK 7885200S  57          1987</t>
        </is>
      </c>
      <c r="D31" t="inlineStr">
        <is>
          <t>Portraits in silicon / Robert Slater.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Slater, Robert, 1943-2014.</t>
        </is>
      </c>
      <c r="L31" t="inlineStr">
        <is>
          <t>Cambridge, Mass. : MIT Press, c1987.</t>
        </is>
      </c>
      <c r="M31" t="inlineStr">
        <is>
          <t>1987</t>
        </is>
      </c>
      <c r="O31" t="inlineStr">
        <is>
          <t>eng</t>
        </is>
      </c>
      <c r="P31" t="inlineStr">
        <is>
          <t>mau</t>
        </is>
      </c>
      <c r="R31" t="inlineStr">
        <is>
          <t xml:space="preserve">TK </t>
        </is>
      </c>
      <c r="S31" t="n">
        <v>0</v>
      </c>
      <c r="T31" t="n">
        <v>0</v>
      </c>
      <c r="U31" t="inlineStr">
        <is>
          <t>2003-06-09</t>
        </is>
      </c>
      <c r="V31" t="inlineStr">
        <is>
          <t>2003-06-09</t>
        </is>
      </c>
      <c r="W31" t="inlineStr">
        <is>
          <t>1992-09-01</t>
        </is>
      </c>
      <c r="X31" t="inlineStr">
        <is>
          <t>1992-09-01</t>
        </is>
      </c>
      <c r="Y31" t="n">
        <v>847</v>
      </c>
      <c r="Z31" t="n">
        <v>724</v>
      </c>
      <c r="AA31" t="n">
        <v>792</v>
      </c>
      <c r="AB31" t="n">
        <v>5</v>
      </c>
      <c r="AC31" t="n">
        <v>5</v>
      </c>
      <c r="AD31" t="n">
        <v>19</v>
      </c>
      <c r="AE31" t="n">
        <v>20</v>
      </c>
      <c r="AF31" t="n">
        <v>7</v>
      </c>
      <c r="AG31" t="n">
        <v>8</v>
      </c>
      <c r="AH31" t="n">
        <v>3</v>
      </c>
      <c r="AI31" t="n">
        <v>3</v>
      </c>
      <c r="AJ31" t="n">
        <v>11</v>
      </c>
      <c r="AK31" t="n">
        <v>11</v>
      </c>
      <c r="AL31" t="n">
        <v>2</v>
      </c>
      <c r="AM31" t="n">
        <v>2</v>
      </c>
      <c r="AN31" t="n">
        <v>0</v>
      </c>
      <c r="AO31" t="n">
        <v>0</v>
      </c>
      <c r="AP31" t="inlineStr">
        <is>
          <t>No</t>
        </is>
      </c>
      <c r="AQ31" t="inlineStr">
        <is>
          <t>No</t>
        </is>
      </c>
      <c r="AS31">
        <f>HYPERLINK("https://creighton-primo.hosted.exlibrisgroup.com/primo-explore/search?tab=default_tab&amp;search_scope=EVERYTHING&amp;vid=01CRU&amp;lang=en_US&amp;offset=0&amp;query=any,contains,991001047989702656","Catalog Record")</f>
        <v/>
      </c>
      <c r="AT31">
        <f>HYPERLINK("http://www.worldcat.org/oclc/15630421","WorldCat Record")</f>
        <v/>
      </c>
      <c r="AU31" t="inlineStr">
        <is>
          <t>141386559:eng</t>
        </is>
      </c>
      <c r="AV31" t="inlineStr">
        <is>
          <t>15630421</t>
        </is>
      </c>
      <c r="AW31" t="inlineStr">
        <is>
          <t>991001047989702656</t>
        </is>
      </c>
      <c r="AX31" t="inlineStr">
        <is>
          <t>991001047989702656</t>
        </is>
      </c>
      <c r="AY31" t="inlineStr">
        <is>
          <t>2260905770002656</t>
        </is>
      </c>
      <c r="AZ31" t="inlineStr">
        <is>
          <t>BOOK</t>
        </is>
      </c>
      <c r="BB31" t="inlineStr">
        <is>
          <t>9780262192620</t>
        </is>
      </c>
      <c r="BC31" t="inlineStr">
        <is>
          <t>32285001284669</t>
        </is>
      </c>
      <c r="BD31" t="inlineStr">
        <is>
          <t>893528621</t>
        </is>
      </c>
    </row>
    <row r="32">
      <c r="A32" t="inlineStr">
        <is>
          <t>No</t>
        </is>
      </c>
      <c r="B32" t="inlineStr">
        <is>
          <t>TL540.L49 A3</t>
        </is>
      </c>
      <c r="C32" t="inlineStr">
        <is>
          <t>0                      TL 0540000L  49                 A  3</t>
        </is>
      </c>
      <c r="D32" t="inlineStr">
        <is>
          <t>North to the Orient, by Anne Morrow Lindbergh; with maps by Charles A. Lindbergh.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K32" t="inlineStr">
        <is>
          <t>Lindbergh, Anne Morrow, 1906-2001.</t>
        </is>
      </c>
      <c r="L32" t="inlineStr">
        <is>
          <t>New York, Harcourt, Brace and company [c1935]</t>
        </is>
      </c>
      <c r="M32" t="inlineStr">
        <is>
          <t>1935</t>
        </is>
      </c>
      <c r="O32" t="inlineStr">
        <is>
          <t>eng</t>
        </is>
      </c>
      <c r="P32" t="inlineStr">
        <is>
          <t>nyu</t>
        </is>
      </c>
      <c r="R32" t="inlineStr">
        <is>
          <t xml:space="preserve">TL </t>
        </is>
      </c>
      <c r="S32" t="n">
        <v>0</v>
      </c>
      <c r="T32" t="n">
        <v>0</v>
      </c>
      <c r="U32" t="inlineStr">
        <is>
          <t>2010-03-08</t>
        </is>
      </c>
      <c r="V32" t="inlineStr">
        <is>
          <t>2010-03-08</t>
        </is>
      </c>
      <c r="W32" t="inlineStr">
        <is>
          <t>1998-02-25</t>
        </is>
      </c>
      <c r="X32" t="inlineStr">
        <is>
          <t>1998-02-25</t>
        </is>
      </c>
      <c r="Y32" t="n">
        <v>1969</v>
      </c>
      <c r="Z32" t="n">
        <v>1838</v>
      </c>
      <c r="AA32" t="n">
        <v>2056</v>
      </c>
      <c r="AB32" t="n">
        <v>18</v>
      </c>
      <c r="AC32" t="n">
        <v>19</v>
      </c>
      <c r="AD32" t="n">
        <v>46</v>
      </c>
      <c r="AE32" t="n">
        <v>49</v>
      </c>
      <c r="AF32" t="n">
        <v>18</v>
      </c>
      <c r="AG32" t="n">
        <v>19</v>
      </c>
      <c r="AH32" t="n">
        <v>5</v>
      </c>
      <c r="AI32" t="n">
        <v>6</v>
      </c>
      <c r="AJ32" t="n">
        <v>19</v>
      </c>
      <c r="AK32" t="n">
        <v>21</v>
      </c>
      <c r="AL32" t="n">
        <v>10</v>
      </c>
      <c r="AM32" t="n">
        <v>10</v>
      </c>
      <c r="AN32" t="n">
        <v>1</v>
      </c>
      <c r="AO32" t="n">
        <v>1</v>
      </c>
      <c r="AP32" t="inlineStr">
        <is>
          <t>No</t>
        </is>
      </c>
      <c r="AQ32" t="inlineStr">
        <is>
          <t>Yes</t>
        </is>
      </c>
      <c r="AR32">
        <f>HYPERLINK("http://catalog.hathitrust.org/Record/001115046","HathiTrust Record")</f>
        <v/>
      </c>
      <c r="AS32">
        <f>HYPERLINK("https://creighton-primo.hosted.exlibrisgroup.com/primo-explore/search?tab=default_tab&amp;search_scope=EVERYTHING&amp;vid=01CRU&amp;lang=en_US&amp;offset=0&amp;query=any,contains,991002996509702656","Catalog Record")</f>
        <v/>
      </c>
      <c r="AT32">
        <f>HYPERLINK("http://www.worldcat.org/oclc/564946","WorldCat Record")</f>
        <v/>
      </c>
      <c r="AU32" t="inlineStr">
        <is>
          <t>48354389:eng</t>
        </is>
      </c>
      <c r="AV32" t="inlineStr">
        <is>
          <t>564946</t>
        </is>
      </c>
      <c r="AW32" t="inlineStr">
        <is>
          <t>991002996509702656</t>
        </is>
      </c>
      <c r="AX32" t="inlineStr">
        <is>
          <t>991002996509702656</t>
        </is>
      </c>
      <c r="AY32" t="inlineStr">
        <is>
          <t>2256815250002656</t>
        </is>
      </c>
      <c r="AZ32" t="inlineStr">
        <is>
          <t>BOOK</t>
        </is>
      </c>
      <c r="BC32" t="inlineStr">
        <is>
          <t>32285003261095</t>
        </is>
      </c>
      <c r="BD32" t="inlineStr">
        <is>
          <t>893251892</t>
        </is>
      </c>
    </row>
    <row r="33">
      <c r="A33" t="inlineStr">
        <is>
          <t>No</t>
        </is>
      </c>
      <c r="B33" t="inlineStr">
        <is>
          <t>TN291 .C37 1971</t>
        </is>
      </c>
      <c r="C33" t="inlineStr">
        <is>
          <t>0                      TN 0291000C  37          1971</t>
        </is>
      </c>
      <c r="D33" t="inlineStr">
        <is>
          <t>My land is dying / [by] Harry M. Caudill.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K33" t="inlineStr">
        <is>
          <t>Caudill, Harry M., 1922-1990.</t>
        </is>
      </c>
      <c r="L33" t="inlineStr">
        <is>
          <t>New York : E. P. Dutton, 1971.</t>
        </is>
      </c>
      <c r="M33" t="inlineStr">
        <is>
          <t>1971</t>
        </is>
      </c>
      <c r="N33" t="inlineStr">
        <is>
          <t>[1st ed.]</t>
        </is>
      </c>
      <c r="O33" t="inlineStr">
        <is>
          <t>eng</t>
        </is>
      </c>
      <c r="P33" t="inlineStr">
        <is>
          <t>nyu</t>
        </is>
      </c>
      <c r="R33" t="inlineStr">
        <is>
          <t xml:space="preserve">TN </t>
        </is>
      </c>
      <c r="S33" t="n">
        <v>6</v>
      </c>
      <c r="T33" t="n">
        <v>6</v>
      </c>
      <c r="U33" t="inlineStr">
        <is>
          <t>1995-10-04</t>
        </is>
      </c>
      <c r="V33" t="inlineStr">
        <is>
          <t>1995-10-04</t>
        </is>
      </c>
      <c r="W33" t="inlineStr">
        <is>
          <t>1992-04-02</t>
        </is>
      </c>
      <c r="X33" t="inlineStr">
        <is>
          <t>1992-04-02</t>
        </is>
      </c>
      <c r="Y33" t="n">
        <v>1036</v>
      </c>
      <c r="Z33" t="n">
        <v>999</v>
      </c>
      <c r="AA33" t="n">
        <v>1030</v>
      </c>
      <c r="AB33" t="n">
        <v>10</v>
      </c>
      <c r="AC33" t="n">
        <v>10</v>
      </c>
      <c r="AD33" t="n">
        <v>24</v>
      </c>
      <c r="AE33" t="n">
        <v>24</v>
      </c>
      <c r="AF33" t="n">
        <v>6</v>
      </c>
      <c r="AG33" t="n">
        <v>6</v>
      </c>
      <c r="AH33" t="n">
        <v>5</v>
      </c>
      <c r="AI33" t="n">
        <v>5</v>
      </c>
      <c r="AJ33" t="n">
        <v>9</v>
      </c>
      <c r="AK33" t="n">
        <v>9</v>
      </c>
      <c r="AL33" t="n">
        <v>6</v>
      </c>
      <c r="AM33" t="n">
        <v>6</v>
      </c>
      <c r="AN33" t="n">
        <v>3</v>
      </c>
      <c r="AO33" t="n">
        <v>3</v>
      </c>
      <c r="AP33" t="inlineStr">
        <is>
          <t>No</t>
        </is>
      </c>
      <c r="AQ33" t="inlineStr">
        <is>
          <t>Yes</t>
        </is>
      </c>
      <c r="AR33">
        <f>HYPERLINK("http://catalog.hathitrust.org/Record/001115331","HathiTrust Record")</f>
        <v/>
      </c>
      <c r="AS33">
        <f>HYPERLINK("https://creighton-primo.hosted.exlibrisgroup.com/primo-explore/search?tab=default_tab&amp;search_scope=EVERYTHING&amp;vid=01CRU&amp;lang=en_US&amp;offset=0&amp;query=any,contains,991001286049702656","Catalog Record")</f>
        <v/>
      </c>
      <c r="AT33">
        <f>HYPERLINK("http://www.worldcat.org/oclc/215949","WorldCat Record")</f>
        <v/>
      </c>
      <c r="AU33" t="inlineStr">
        <is>
          <t>422710702:eng</t>
        </is>
      </c>
      <c r="AV33" t="inlineStr">
        <is>
          <t>215949</t>
        </is>
      </c>
      <c r="AW33" t="inlineStr">
        <is>
          <t>991001286049702656</t>
        </is>
      </c>
      <c r="AX33" t="inlineStr">
        <is>
          <t>991001286049702656</t>
        </is>
      </c>
      <c r="AY33" t="inlineStr">
        <is>
          <t>2255716570002656</t>
        </is>
      </c>
      <c r="AZ33" t="inlineStr">
        <is>
          <t>BOOK</t>
        </is>
      </c>
      <c r="BB33" t="inlineStr">
        <is>
          <t>9780525162308</t>
        </is>
      </c>
      <c r="BC33" t="inlineStr">
        <is>
          <t>32285001032399</t>
        </is>
      </c>
      <c r="BD33" t="inlineStr">
        <is>
          <t>893496979</t>
        </is>
      </c>
    </row>
    <row r="34">
      <c r="A34" t="inlineStr">
        <is>
          <t>No</t>
        </is>
      </c>
      <c r="B34" t="inlineStr">
        <is>
          <t>TN443.M9 G55</t>
        </is>
      </c>
      <c r="C34" t="inlineStr">
        <is>
          <t>0                      TN 0443000M  9                  G  55</t>
        </is>
      </c>
      <c r="D34" t="inlineStr">
        <is>
          <t>The war of the copper kings; builders of Butte and wolves of Wall Street, by C.B. Glasscock ...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K34" t="inlineStr">
        <is>
          <t>Glasscock, Carl B. (Carl Burgess), 1884-1942.</t>
        </is>
      </c>
      <c r="L34" t="inlineStr">
        <is>
          <t>Indianapolis, New York, The Bobbs-Merrill Company [c1935]</t>
        </is>
      </c>
      <c r="M34" t="inlineStr">
        <is>
          <t>1935</t>
        </is>
      </c>
      <c r="O34" t="inlineStr">
        <is>
          <t>eng</t>
        </is>
      </c>
      <c r="P34" t="inlineStr">
        <is>
          <t>inu</t>
        </is>
      </c>
      <c r="R34" t="inlineStr">
        <is>
          <t xml:space="preserve">TN </t>
        </is>
      </c>
      <c r="S34" t="n">
        <v>3</v>
      </c>
      <c r="T34" t="n">
        <v>3</v>
      </c>
      <c r="U34" t="inlineStr">
        <is>
          <t>1997-12-01</t>
        </is>
      </c>
      <c r="V34" t="inlineStr">
        <is>
          <t>1997-12-01</t>
        </is>
      </c>
      <c r="W34" t="inlineStr">
        <is>
          <t>1997-08-28</t>
        </is>
      </c>
      <c r="X34" t="inlineStr">
        <is>
          <t>1997-08-28</t>
        </is>
      </c>
      <c r="Y34" t="n">
        <v>292</v>
      </c>
      <c r="Z34" t="n">
        <v>283</v>
      </c>
      <c r="AA34" t="n">
        <v>574</v>
      </c>
      <c r="AB34" t="n">
        <v>3</v>
      </c>
      <c r="AC34" t="n">
        <v>6</v>
      </c>
      <c r="AD34" t="n">
        <v>12</v>
      </c>
      <c r="AE34" t="n">
        <v>21</v>
      </c>
      <c r="AF34" t="n">
        <v>2</v>
      </c>
      <c r="AG34" t="n">
        <v>4</v>
      </c>
      <c r="AH34" t="n">
        <v>2</v>
      </c>
      <c r="AI34" t="n">
        <v>4</v>
      </c>
      <c r="AJ34" t="n">
        <v>6</v>
      </c>
      <c r="AK34" t="n">
        <v>9</v>
      </c>
      <c r="AL34" t="n">
        <v>2</v>
      </c>
      <c r="AM34" t="n">
        <v>5</v>
      </c>
      <c r="AN34" t="n">
        <v>1</v>
      </c>
      <c r="AO34" t="n">
        <v>2</v>
      </c>
      <c r="AP34" t="inlineStr">
        <is>
          <t>No</t>
        </is>
      </c>
      <c r="AQ34" t="inlineStr">
        <is>
          <t>No</t>
        </is>
      </c>
      <c r="AR34">
        <f>HYPERLINK("http://catalog.hathitrust.org/Record/001041417","HathiTrust Record")</f>
        <v/>
      </c>
      <c r="AS34">
        <f>HYPERLINK("https://creighton-primo.hosted.exlibrisgroup.com/primo-explore/search?tab=default_tab&amp;search_scope=EVERYTHING&amp;vid=01CRU&amp;lang=en_US&amp;offset=0&amp;query=any,contains,991003196039702656","Catalog Record")</f>
        <v/>
      </c>
      <c r="AT34">
        <f>HYPERLINK("http://www.worldcat.org/oclc/721474","WorldCat Record")</f>
        <v/>
      </c>
      <c r="AU34" t="inlineStr">
        <is>
          <t>1704424:eng</t>
        </is>
      </c>
      <c r="AV34" t="inlineStr">
        <is>
          <t>721474</t>
        </is>
      </c>
      <c r="AW34" t="inlineStr">
        <is>
          <t>991003196039702656</t>
        </is>
      </c>
      <c r="AX34" t="inlineStr">
        <is>
          <t>991003196039702656</t>
        </is>
      </c>
      <c r="AY34" t="inlineStr">
        <is>
          <t>2259102350002656</t>
        </is>
      </c>
      <c r="AZ34" t="inlineStr">
        <is>
          <t>BOOK</t>
        </is>
      </c>
      <c r="BC34" t="inlineStr">
        <is>
          <t>32285003117743</t>
        </is>
      </c>
      <c r="BD34" t="inlineStr">
        <is>
          <t>893623243</t>
        </is>
      </c>
    </row>
    <row r="35">
      <c r="A35" t="inlineStr">
        <is>
          <t>No</t>
        </is>
      </c>
      <c r="B35" t="inlineStr">
        <is>
          <t>TN870 .I58</t>
        </is>
      </c>
      <c r="C35" t="inlineStr">
        <is>
          <t>0                      TN 0870000I  58</t>
        </is>
      </c>
      <c r="D35" t="inlineStr">
        <is>
          <t>Oil and gas production : an introductory guide to production techniques and conservation methods / compiled by the Engineering Committee.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Interstate Oil Compact Commission. Engineering Committee.</t>
        </is>
      </c>
      <c r="L35" t="inlineStr">
        <is>
          <t>Norman, Okla. : Published for the Interstate Oil Compact Commission by the University of Oklahoma Press, c1951.</t>
        </is>
      </c>
      <c r="M35" t="inlineStr">
        <is>
          <t>1951</t>
        </is>
      </c>
      <c r="N35" t="inlineStr">
        <is>
          <t>1st ed.</t>
        </is>
      </c>
      <c r="O35" t="inlineStr">
        <is>
          <t>eng</t>
        </is>
      </c>
      <c r="P35" t="inlineStr">
        <is>
          <t>oku</t>
        </is>
      </c>
      <c r="R35" t="inlineStr">
        <is>
          <t xml:space="preserve">TN </t>
        </is>
      </c>
      <c r="S35" t="n">
        <v>2</v>
      </c>
      <c r="T35" t="n">
        <v>2</v>
      </c>
      <c r="U35" t="inlineStr">
        <is>
          <t>2002-02-13</t>
        </is>
      </c>
      <c r="V35" t="inlineStr">
        <is>
          <t>2002-02-13</t>
        </is>
      </c>
      <c r="W35" t="inlineStr">
        <is>
          <t>1994-04-05</t>
        </is>
      </c>
      <c r="X35" t="inlineStr">
        <is>
          <t>1994-04-05</t>
        </is>
      </c>
      <c r="Y35" t="n">
        <v>230</v>
      </c>
      <c r="Z35" t="n">
        <v>216</v>
      </c>
      <c r="AA35" t="n">
        <v>255</v>
      </c>
      <c r="AB35" t="n">
        <v>2</v>
      </c>
      <c r="AC35" t="n">
        <v>2</v>
      </c>
      <c r="AD35" t="n">
        <v>15</v>
      </c>
      <c r="AE35" t="n">
        <v>18</v>
      </c>
      <c r="AF35" t="n">
        <v>2</v>
      </c>
      <c r="AG35" t="n">
        <v>2</v>
      </c>
      <c r="AH35" t="n">
        <v>2</v>
      </c>
      <c r="AI35" t="n">
        <v>2</v>
      </c>
      <c r="AJ35" t="n">
        <v>4</v>
      </c>
      <c r="AK35" t="n">
        <v>4</v>
      </c>
      <c r="AL35" t="n">
        <v>0</v>
      </c>
      <c r="AM35" t="n">
        <v>0</v>
      </c>
      <c r="AN35" t="n">
        <v>8</v>
      </c>
      <c r="AO35" t="n">
        <v>11</v>
      </c>
      <c r="AP35" t="inlineStr">
        <is>
          <t>Yes</t>
        </is>
      </c>
      <c r="AQ35" t="inlineStr">
        <is>
          <t>No</t>
        </is>
      </c>
      <c r="AR35">
        <f>HYPERLINK("http://catalog.hathitrust.org/Record/001042287","HathiTrust Record")</f>
        <v/>
      </c>
      <c r="AS35">
        <f>HYPERLINK("https://creighton-primo.hosted.exlibrisgroup.com/primo-explore/search?tab=default_tab&amp;search_scope=EVERYTHING&amp;vid=01CRU&amp;lang=en_US&amp;offset=0&amp;query=any,contains,991002232589702656","Catalog Record")</f>
        <v/>
      </c>
      <c r="AT35">
        <f>HYPERLINK("http://www.worldcat.org/oclc/28762830","WorldCat Record")</f>
        <v/>
      </c>
      <c r="AU35" t="inlineStr">
        <is>
          <t>24090367:eng</t>
        </is>
      </c>
      <c r="AV35" t="inlineStr">
        <is>
          <t>28762830</t>
        </is>
      </c>
      <c r="AW35" t="inlineStr">
        <is>
          <t>991002232589702656</t>
        </is>
      </c>
      <c r="AX35" t="inlineStr">
        <is>
          <t>991002232589702656</t>
        </is>
      </c>
      <c r="AY35" t="inlineStr">
        <is>
          <t>2259791790002656</t>
        </is>
      </c>
      <c r="AZ35" t="inlineStr">
        <is>
          <t>BOOK</t>
        </is>
      </c>
      <c r="BC35" t="inlineStr">
        <is>
          <t>32285001873461</t>
        </is>
      </c>
      <c r="BD35" t="inlineStr">
        <is>
          <t>893232713</t>
        </is>
      </c>
    </row>
    <row r="36">
      <c r="A36" t="inlineStr">
        <is>
          <t>No</t>
        </is>
      </c>
      <c r="B36" t="inlineStr">
        <is>
          <t>TN874.N78 O56 1973</t>
        </is>
      </c>
      <c r="C36" t="inlineStr">
        <is>
          <t>0                      TN 0874000N  78                 O  56          1973</t>
        </is>
      </c>
      <c r="D36" t="inlineStr">
        <is>
          <t>North Sea oil and gas; implications for future United States development [by] Irvin L. White [and others] A study sponsored by the Council on Environmental Quality.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K36" t="inlineStr">
        <is>
          <t>University of Oklahoma. Technology Assessment Group.</t>
        </is>
      </c>
      <c r="L36" t="inlineStr">
        <is>
          <t>Norman, University of Oklahoma Press [c1973]</t>
        </is>
      </c>
      <c r="M36" t="inlineStr">
        <is>
          <t>1973</t>
        </is>
      </c>
      <c r="N36" t="inlineStr">
        <is>
          <t>[1st ed.]</t>
        </is>
      </c>
      <c r="O36" t="inlineStr">
        <is>
          <t>eng</t>
        </is>
      </c>
      <c r="P36" t="inlineStr">
        <is>
          <t>oku</t>
        </is>
      </c>
      <c r="R36" t="inlineStr">
        <is>
          <t xml:space="preserve">TN </t>
        </is>
      </c>
      <c r="S36" t="n">
        <v>1</v>
      </c>
      <c r="T36" t="n">
        <v>1</v>
      </c>
      <c r="U36" t="inlineStr">
        <is>
          <t>2004-04-25</t>
        </is>
      </c>
      <c r="V36" t="inlineStr">
        <is>
          <t>2004-04-25</t>
        </is>
      </c>
      <c r="W36" t="inlineStr">
        <is>
          <t>1997-08-28</t>
        </is>
      </c>
      <c r="X36" t="inlineStr">
        <is>
          <t>1997-08-28</t>
        </is>
      </c>
      <c r="Y36" t="n">
        <v>276</v>
      </c>
      <c r="Z36" t="n">
        <v>249</v>
      </c>
      <c r="AA36" t="n">
        <v>252</v>
      </c>
      <c r="AB36" t="n">
        <v>3</v>
      </c>
      <c r="AC36" t="n">
        <v>3</v>
      </c>
      <c r="AD36" t="n">
        <v>10</v>
      </c>
      <c r="AE36" t="n">
        <v>10</v>
      </c>
      <c r="AF36" t="n">
        <v>0</v>
      </c>
      <c r="AG36" t="n">
        <v>0</v>
      </c>
      <c r="AH36" t="n">
        <v>1</v>
      </c>
      <c r="AI36" t="n">
        <v>1</v>
      </c>
      <c r="AJ36" t="n">
        <v>4</v>
      </c>
      <c r="AK36" t="n">
        <v>4</v>
      </c>
      <c r="AL36" t="n">
        <v>2</v>
      </c>
      <c r="AM36" t="n">
        <v>2</v>
      </c>
      <c r="AN36" t="n">
        <v>4</v>
      </c>
      <c r="AO36" t="n">
        <v>4</v>
      </c>
      <c r="AP36" t="inlineStr">
        <is>
          <t>No</t>
        </is>
      </c>
      <c r="AQ36" t="inlineStr">
        <is>
          <t>No</t>
        </is>
      </c>
      <c r="AS36">
        <f>HYPERLINK("https://creighton-primo.hosted.exlibrisgroup.com/primo-explore/search?tab=default_tab&amp;search_scope=EVERYTHING&amp;vid=01CRU&amp;lang=en_US&amp;offset=0&amp;query=any,contains,991003312639702656","Catalog Record")</f>
        <v/>
      </c>
      <c r="AT36">
        <f>HYPERLINK("http://www.worldcat.org/oclc/836252","WorldCat Record")</f>
        <v/>
      </c>
      <c r="AU36" t="inlineStr">
        <is>
          <t>356336577:eng</t>
        </is>
      </c>
      <c r="AV36" t="inlineStr">
        <is>
          <t>836252</t>
        </is>
      </c>
      <c r="AW36" t="inlineStr">
        <is>
          <t>991003312639702656</t>
        </is>
      </c>
      <c r="AX36" t="inlineStr">
        <is>
          <t>991003312639702656</t>
        </is>
      </c>
      <c r="AY36" t="inlineStr">
        <is>
          <t>2268939420002656</t>
        </is>
      </c>
      <c r="AZ36" t="inlineStr">
        <is>
          <t>BOOK</t>
        </is>
      </c>
      <c r="BC36" t="inlineStr">
        <is>
          <t>32285003118014</t>
        </is>
      </c>
      <c r="BD36" t="inlineStr">
        <is>
          <t>893227935</t>
        </is>
      </c>
    </row>
    <row r="37">
      <c r="A37" t="inlineStr">
        <is>
          <t>No</t>
        </is>
      </c>
      <c r="B37" t="inlineStr">
        <is>
          <t>TP156.C35 C375 v...</t>
        </is>
      </c>
      <c r="C37" t="inlineStr">
        <is>
          <t>0                      TP 0156000C  35                 C  375                               v...</t>
        </is>
      </c>
      <c r="D37" t="inlineStr">
        <is>
          <t>Catalysis : science and technology / edited by John R. Anderson and Michel Boudart.</t>
        </is>
      </c>
      <c r="E37" t="inlineStr">
        <is>
          <t>V.2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L37" t="inlineStr">
        <is>
          <t>Berlin ; New York : Springer-Verlag, 1981-</t>
        </is>
      </c>
      <c r="M37" t="inlineStr">
        <is>
          <t>1981</t>
        </is>
      </c>
      <c r="O37" t="inlineStr">
        <is>
          <t>eng</t>
        </is>
      </c>
      <c r="P37" t="inlineStr">
        <is>
          <t xml:space="preserve">gw </t>
        </is>
      </c>
      <c r="R37" t="inlineStr">
        <is>
          <t xml:space="preserve">TP </t>
        </is>
      </c>
      <c r="S37" t="n">
        <v>0</v>
      </c>
      <c r="T37" t="n">
        <v>0</v>
      </c>
      <c r="U37" t="inlineStr">
        <is>
          <t>2002-08-02</t>
        </is>
      </c>
      <c r="V37" t="inlineStr">
        <is>
          <t>2002-08-02</t>
        </is>
      </c>
      <c r="W37" t="inlineStr">
        <is>
          <t>1993-06-14</t>
        </is>
      </c>
      <c r="X37" t="inlineStr">
        <is>
          <t>1993-06-14</t>
        </is>
      </c>
      <c r="Y37" t="n">
        <v>304</v>
      </c>
      <c r="Z37" t="n">
        <v>217</v>
      </c>
      <c r="AA37" t="n">
        <v>234</v>
      </c>
      <c r="AB37" t="n">
        <v>1</v>
      </c>
      <c r="AC37" t="n">
        <v>2</v>
      </c>
      <c r="AD37" t="n">
        <v>7</v>
      </c>
      <c r="AE37" t="n">
        <v>9</v>
      </c>
      <c r="AF37" t="n">
        <v>3</v>
      </c>
      <c r="AG37" t="n">
        <v>4</v>
      </c>
      <c r="AH37" t="n">
        <v>3</v>
      </c>
      <c r="AI37" t="n">
        <v>3</v>
      </c>
      <c r="AJ37" t="n">
        <v>4</v>
      </c>
      <c r="AK37" t="n">
        <v>5</v>
      </c>
      <c r="AL37" t="n">
        <v>0</v>
      </c>
      <c r="AM37" t="n">
        <v>1</v>
      </c>
      <c r="AN37" t="n">
        <v>0</v>
      </c>
      <c r="AO37" t="n">
        <v>0</v>
      </c>
      <c r="AP37" t="inlineStr">
        <is>
          <t>No</t>
        </is>
      </c>
      <c r="AQ37" t="inlineStr">
        <is>
          <t>Yes</t>
        </is>
      </c>
      <c r="AR37">
        <f>HYPERLINK("http://catalog.hathitrust.org/Record/000267256","HathiTrust Record")</f>
        <v/>
      </c>
      <c r="AS37">
        <f>HYPERLINK("https://creighton-primo.hosted.exlibrisgroup.com/primo-explore/search?tab=default_tab&amp;search_scope=EVERYTHING&amp;vid=01CRU&amp;lang=en_US&amp;offset=0&amp;query=any,contains,991005060799702656","Catalog Record")</f>
        <v/>
      </c>
      <c r="AT37">
        <f>HYPERLINK("http://www.worldcat.org/oclc/6917662","WorldCat Record")</f>
        <v/>
      </c>
      <c r="AU37" t="inlineStr">
        <is>
          <t>5342885949:eng</t>
        </is>
      </c>
      <c r="AV37" t="inlineStr">
        <is>
          <t>6917662</t>
        </is>
      </c>
      <c r="AW37" t="inlineStr">
        <is>
          <t>991005060799702656</t>
        </is>
      </c>
      <c r="AX37" t="inlineStr">
        <is>
          <t>991005060799702656</t>
        </is>
      </c>
      <c r="AY37" t="inlineStr">
        <is>
          <t>2264726320002656</t>
        </is>
      </c>
      <c r="AZ37" t="inlineStr">
        <is>
          <t>BOOK</t>
        </is>
      </c>
      <c r="BB37" t="inlineStr">
        <is>
          <t>9780387103532</t>
        </is>
      </c>
      <c r="BC37" t="inlineStr">
        <is>
          <t>32285001731065</t>
        </is>
      </c>
      <c r="BD37" t="inlineStr">
        <is>
          <t>893870449</t>
        </is>
      </c>
    </row>
    <row r="38">
      <c r="A38" t="inlineStr">
        <is>
          <t>No</t>
        </is>
      </c>
      <c r="B38" t="inlineStr">
        <is>
          <t>TP156.E6 M52</t>
        </is>
      </c>
      <c r="C38" t="inlineStr">
        <is>
          <t>0                      TP 0156000E  6                  M  52</t>
        </is>
      </c>
      <c r="D38" t="inlineStr">
        <is>
          <t>Microemulsions : theory and practice / edited by Leon M. Prince. --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L38" t="inlineStr">
        <is>
          <t>New York : Academic Press, 1977.</t>
        </is>
      </c>
      <c r="M38" t="inlineStr">
        <is>
          <t>1977</t>
        </is>
      </c>
      <c r="O38" t="inlineStr">
        <is>
          <t>eng</t>
        </is>
      </c>
      <c r="P38" t="inlineStr">
        <is>
          <t>nyu</t>
        </is>
      </c>
      <c r="R38" t="inlineStr">
        <is>
          <t xml:space="preserve">TP </t>
        </is>
      </c>
      <c r="S38" t="n">
        <v>6</v>
      </c>
      <c r="T38" t="n">
        <v>6</v>
      </c>
      <c r="U38" t="inlineStr">
        <is>
          <t>2005-11-23</t>
        </is>
      </c>
      <c r="V38" t="inlineStr">
        <is>
          <t>2005-11-23</t>
        </is>
      </c>
      <c r="W38" t="inlineStr">
        <is>
          <t>1993-06-14</t>
        </is>
      </c>
      <c r="X38" t="inlineStr">
        <is>
          <t>1993-06-14</t>
        </is>
      </c>
      <c r="Y38" t="n">
        <v>288</v>
      </c>
      <c r="Z38" t="n">
        <v>178</v>
      </c>
      <c r="AA38" t="n">
        <v>223</v>
      </c>
      <c r="AB38" t="n">
        <v>4</v>
      </c>
      <c r="AC38" t="n">
        <v>4</v>
      </c>
      <c r="AD38" t="n">
        <v>7</v>
      </c>
      <c r="AE38" t="n">
        <v>10</v>
      </c>
      <c r="AF38" t="n">
        <v>1</v>
      </c>
      <c r="AG38" t="n">
        <v>3</v>
      </c>
      <c r="AH38" t="n">
        <v>2</v>
      </c>
      <c r="AI38" t="n">
        <v>4</v>
      </c>
      <c r="AJ38" t="n">
        <v>2</v>
      </c>
      <c r="AK38" t="n">
        <v>2</v>
      </c>
      <c r="AL38" t="n">
        <v>3</v>
      </c>
      <c r="AM38" t="n">
        <v>3</v>
      </c>
      <c r="AN38" t="n">
        <v>0</v>
      </c>
      <c r="AO38" t="n">
        <v>0</v>
      </c>
      <c r="AP38" t="inlineStr">
        <is>
          <t>No</t>
        </is>
      </c>
      <c r="AQ38" t="inlineStr">
        <is>
          <t>Yes</t>
        </is>
      </c>
      <c r="AR38">
        <f>HYPERLINK("http://catalog.hathitrust.org/Record/006243050","HathiTrust Record")</f>
        <v/>
      </c>
      <c r="AS38">
        <f>HYPERLINK("https://creighton-primo.hosted.exlibrisgroup.com/primo-explore/search?tab=default_tab&amp;search_scope=EVERYTHING&amp;vid=01CRU&amp;lang=en_US&amp;offset=0&amp;query=any,contains,991004267819702656","Catalog Record")</f>
        <v/>
      </c>
      <c r="AT38">
        <f>HYPERLINK("http://www.worldcat.org/oclc/2873401","WorldCat Record")</f>
        <v/>
      </c>
      <c r="AU38" t="inlineStr">
        <is>
          <t>409607:eng</t>
        </is>
      </c>
      <c r="AV38" t="inlineStr">
        <is>
          <t>2873401</t>
        </is>
      </c>
      <c r="AW38" t="inlineStr">
        <is>
          <t>991004267819702656</t>
        </is>
      </c>
      <c r="AX38" t="inlineStr">
        <is>
          <t>991004267819702656</t>
        </is>
      </c>
      <c r="AY38" t="inlineStr">
        <is>
          <t>2259433990002656</t>
        </is>
      </c>
      <c r="AZ38" t="inlineStr">
        <is>
          <t>BOOK</t>
        </is>
      </c>
      <c r="BB38" t="inlineStr">
        <is>
          <t>9780125657501</t>
        </is>
      </c>
      <c r="BC38" t="inlineStr">
        <is>
          <t>32285001731073</t>
        </is>
      </c>
      <c r="BD38" t="inlineStr">
        <is>
          <t>893712356</t>
        </is>
      </c>
    </row>
    <row r="39">
      <c r="A39" t="inlineStr">
        <is>
          <t>No</t>
        </is>
      </c>
      <c r="B39" t="inlineStr">
        <is>
          <t>TP248.195.L29 B54 1995</t>
        </is>
      </c>
      <c r="C39" t="inlineStr">
        <is>
          <t>0                      TP 0248195L  29                 B  54          1995</t>
        </is>
      </c>
      <c r="D39" t="inlineStr">
        <is>
          <t>Biotechnology in Latin America : politics, impacts, and risks / edited by N. Patrick Peritore and Ana Karina Galve-Peritore.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L39" t="inlineStr">
        <is>
          <t>Wilmington, Del. : SR Books, 1995.</t>
        </is>
      </c>
      <c r="M39" t="inlineStr">
        <is>
          <t>1995</t>
        </is>
      </c>
      <c r="O39" t="inlineStr">
        <is>
          <t>eng</t>
        </is>
      </c>
      <c r="P39" t="inlineStr">
        <is>
          <t>deu</t>
        </is>
      </c>
      <c r="Q39" t="inlineStr">
        <is>
          <t>Latin American silhouettes</t>
        </is>
      </c>
      <c r="R39" t="inlineStr">
        <is>
          <t xml:space="preserve">TP </t>
        </is>
      </c>
      <c r="S39" t="n">
        <v>5</v>
      </c>
      <c r="T39" t="n">
        <v>5</v>
      </c>
      <c r="U39" t="inlineStr">
        <is>
          <t>1999-09-14</t>
        </is>
      </c>
      <c r="V39" t="inlineStr">
        <is>
          <t>1999-09-14</t>
        </is>
      </c>
      <c r="W39" t="inlineStr">
        <is>
          <t>1996-03-01</t>
        </is>
      </c>
      <c r="X39" t="inlineStr">
        <is>
          <t>1996-03-01</t>
        </is>
      </c>
      <c r="Y39" t="n">
        <v>256</v>
      </c>
      <c r="Z39" t="n">
        <v>220</v>
      </c>
      <c r="AA39" t="n">
        <v>667</v>
      </c>
      <c r="AB39" t="n">
        <v>1</v>
      </c>
      <c r="AC39" t="n">
        <v>2</v>
      </c>
      <c r="AD39" t="n">
        <v>9</v>
      </c>
      <c r="AE39" t="n">
        <v>19</v>
      </c>
      <c r="AF39" t="n">
        <v>3</v>
      </c>
      <c r="AG39" t="n">
        <v>10</v>
      </c>
      <c r="AH39" t="n">
        <v>3</v>
      </c>
      <c r="AI39" t="n">
        <v>4</v>
      </c>
      <c r="AJ39" t="n">
        <v>7</v>
      </c>
      <c r="AK39" t="n">
        <v>11</v>
      </c>
      <c r="AL39" t="n">
        <v>0</v>
      </c>
      <c r="AM39" t="n">
        <v>1</v>
      </c>
      <c r="AN39" t="n">
        <v>0</v>
      </c>
      <c r="AO39" t="n">
        <v>0</v>
      </c>
      <c r="AP39" t="inlineStr">
        <is>
          <t>No</t>
        </is>
      </c>
      <c r="AQ39" t="inlineStr">
        <is>
          <t>Yes</t>
        </is>
      </c>
      <c r="AR39">
        <f>HYPERLINK("http://catalog.hathitrust.org/Record/003024437","HathiTrust Record")</f>
        <v/>
      </c>
      <c r="AS39">
        <f>HYPERLINK("https://creighton-primo.hosted.exlibrisgroup.com/primo-explore/search?tab=default_tab&amp;search_scope=EVERYTHING&amp;vid=01CRU&amp;lang=en_US&amp;offset=0&amp;query=any,contains,991002496489702656","Catalog Record")</f>
        <v/>
      </c>
      <c r="AT39">
        <f>HYPERLINK("http://www.worldcat.org/oclc/32468780","WorldCat Record")</f>
        <v/>
      </c>
      <c r="AU39" t="inlineStr">
        <is>
          <t>799499838:eng</t>
        </is>
      </c>
      <c r="AV39" t="inlineStr">
        <is>
          <t>32468780</t>
        </is>
      </c>
      <c r="AW39" t="inlineStr">
        <is>
          <t>991002496489702656</t>
        </is>
      </c>
      <c r="AX39" t="inlineStr">
        <is>
          <t>991002496489702656</t>
        </is>
      </c>
      <c r="AY39" t="inlineStr">
        <is>
          <t>2265936490002656</t>
        </is>
      </c>
      <c r="AZ39" t="inlineStr">
        <is>
          <t>BOOK</t>
        </is>
      </c>
      <c r="BB39" t="inlineStr">
        <is>
          <t>9780842025560</t>
        </is>
      </c>
      <c r="BC39" t="inlineStr">
        <is>
          <t>32285002139409</t>
        </is>
      </c>
      <c r="BD39" t="inlineStr">
        <is>
          <t>893440215</t>
        </is>
      </c>
    </row>
    <row r="40">
      <c r="A40" t="inlineStr">
        <is>
          <t>No</t>
        </is>
      </c>
      <c r="B40" t="inlineStr">
        <is>
          <t>TP248.2 .B5744 2008</t>
        </is>
      </c>
      <c r="C40" t="inlineStr">
        <is>
          <t>0                      TP 0248200B  5744        2008</t>
        </is>
      </c>
      <c r="D40" t="inlineStr">
        <is>
          <t>Biotechnology : state of the art and prospects for development / G.E. Zaikov, editor.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L40" t="inlineStr">
        <is>
          <t>New York : Nova Science Publishers, c2008.</t>
        </is>
      </c>
      <c r="M40" t="inlineStr">
        <is>
          <t>2008</t>
        </is>
      </c>
      <c r="O40" t="inlineStr">
        <is>
          <t>eng</t>
        </is>
      </c>
      <c r="P40" t="inlineStr">
        <is>
          <t>nyu</t>
        </is>
      </c>
      <c r="R40" t="inlineStr">
        <is>
          <t xml:space="preserve">TP </t>
        </is>
      </c>
      <c r="S40" t="n">
        <v>1</v>
      </c>
      <c r="T40" t="n">
        <v>1</v>
      </c>
      <c r="U40" t="inlineStr">
        <is>
          <t>2009-11-04</t>
        </is>
      </c>
      <c r="V40" t="inlineStr">
        <is>
          <t>2009-11-04</t>
        </is>
      </c>
      <c r="W40" t="inlineStr">
        <is>
          <t>2009-11-04</t>
        </is>
      </c>
      <c r="X40" t="inlineStr">
        <is>
          <t>2009-11-04</t>
        </is>
      </c>
      <c r="Y40" t="n">
        <v>63</v>
      </c>
      <c r="Z40" t="n">
        <v>41</v>
      </c>
      <c r="AA40" t="n">
        <v>41</v>
      </c>
      <c r="AB40" t="n">
        <v>1</v>
      </c>
      <c r="AC40" t="n">
        <v>1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inlineStr">
        <is>
          <t>No</t>
        </is>
      </c>
      <c r="AQ40" t="inlineStr">
        <is>
          <t>No</t>
        </is>
      </c>
      <c r="AS40">
        <f>HYPERLINK("https://creighton-primo.hosted.exlibrisgroup.com/primo-explore/search?tab=default_tab&amp;search_scope=EVERYTHING&amp;vid=01CRU&amp;lang=en_US&amp;offset=0&amp;query=any,contains,991005338599702656","Catalog Record")</f>
        <v/>
      </c>
      <c r="AT40">
        <f>HYPERLINK("http://www.worldcat.org/oclc/171614113","WorldCat Record")</f>
        <v/>
      </c>
      <c r="AU40" t="inlineStr">
        <is>
          <t>3768585467:eng</t>
        </is>
      </c>
      <c r="AV40" t="inlineStr">
        <is>
          <t>171614113</t>
        </is>
      </c>
      <c r="AW40" t="inlineStr">
        <is>
          <t>991005338599702656</t>
        </is>
      </c>
      <c r="AX40" t="inlineStr">
        <is>
          <t>991005338599702656</t>
        </is>
      </c>
      <c r="AY40" t="inlineStr">
        <is>
          <t>2269098660002656</t>
        </is>
      </c>
      <c r="AZ40" t="inlineStr">
        <is>
          <t>BOOK</t>
        </is>
      </c>
      <c r="BB40" t="inlineStr">
        <is>
          <t>9781604560152</t>
        </is>
      </c>
      <c r="BC40" t="inlineStr">
        <is>
          <t>32285005549679</t>
        </is>
      </c>
      <c r="BD40" t="inlineStr">
        <is>
          <t>893514457</t>
        </is>
      </c>
    </row>
    <row r="41">
      <c r="A41" t="inlineStr">
        <is>
          <t>No</t>
        </is>
      </c>
      <c r="B41" t="inlineStr">
        <is>
          <t>TP248.6 .F687 1999</t>
        </is>
      </c>
      <c r="C41" t="inlineStr">
        <is>
          <t>0                      TP 0248600F  687         1999</t>
        </is>
      </c>
      <c r="D41" t="inlineStr">
        <is>
          <t>Beyond evolution : the genetically altered future of plants, animals, the earth-- and humans / Michael W. Fox.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K41" t="inlineStr">
        <is>
          <t>Fox, Michael W., 1937-</t>
        </is>
      </c>
      <c r="L41" t="inlineStr">
        <is>
          <t>New York, N.Y. : Lyons Press, c1999.</t>
        </is>
      </c>
      <c r="M41" t="inlineStr">
        <is>
          <t>1999</t>
        </is>
      </c>
      <c r="O41" t="inlineStr">
        <is>
          <t>eng</t>
        </is>
      </c>
      <c r="P41" t="inlineStr">
        <is>
          <t>nyu</t>
        </is>
      </c>
      <c r="R41" t="inlineStr">
        <is>
          <t xml:space="preserve">TP </t>
        </is>
      </c>
      <c r="S41" t="n">
        <v>10</v>
      </c>
      <c r="T41" t="n">
        <v>10</v>
      </c>
      <c r="U41" t="inlineStr">
        <is>
          <t>2004-04-20</t>
        </is>
      </c>
      <c r="V41" t="inlineStr">
        <is>
          <t>2004-04-20</t>
        </is>
      </c>
      <c r="W41" t="inlineStr">
        <is>
          <t>1999-10-13</t>
        </is>
      </c>
      <c r="X41" t="inlineStr">
        <is>
          <t>1999-10-13</t>
        </is>
      </c>
      <c r="Y41" t="n">
        <v>946</v>
      </c>
      <c r="Z41" t="n">
        <v>874</v>
      </c>
      <c r="AA41" t="n">
        <v>915</v>
      </c>
      <c r="AB41" t="n">
        <v>7</v>
      </c>
      <c r="AC41" t="n">
        <v>7</v>
      </c>
      <c r="AD41" t="n">
        <v>16</v>
      </c>
      <c r="AE41" t="n">
        <v>16</v>
      </c>
      <c r="AF41" t="n">
        <v>9</v>
      </c>
      <c r="AG41" t="n">
        <v>9</v>
      </c>
      <c r="AH41" t="n">
        <v>3</v>
      </c>
      <c r="AI41" t="n">
        <v>3</v>
      </c>
      <c r="AJ41" t="n">
        <v>7</v>
      </c>
      <c r="AK41" t="n">
        <v>7</v>
      </c>
      <c r="AL41" t="n">
        <v>2</v>
      </c>
      <c r="AM41" t="n">
        <v>2</v>
      </c>
      <c r="AN41" t="n">
        <v>0</v>
      </c>
      <c r="AO41" t="n">
        <v>0</v>
      </c>
      <c r="AP41" t="inlineStr">
        <is>
          <t>No</t>
        </is>
      </c>
      <c r="AQ41" t="inlineStr">
        <is>
          <t>Yes</t>
        </is>
      </c>
      <c r="AR41">
        <f>HYPERLINK("http://catalog.hathitrust.org/Record/004112147","HathiTrust Record")</f>
        <v/>
      </c>
      <c r="AS41">
        <f>HYPERLINK("https://creighton-primo.hosted.exlibrisgroup.com/primo-explore/search?tab=default_tab&amp;search_scope=EVERYTHING&amp;vid=01CRU&amp;lang=en_US&amp;offset=0&amp;query=any,contains,991003009209702656","Catalog Record")</f>
        <v/>
      </c>
      <c r="AT41">
        <f>HYPERLINK("http://www.worldcat.org/oclc/40830072","WorldCat Record")</f>
        <v/>
      </c>
      <c r="AU41" t="inlineStr">
        <is>
          <t>375570211:eng</t>
        </is>
      </c>
      <c r="AV41" t="inlineStr">
        <is>
          <t>40830072</t>
        </is>
      </c>
      <c r="AW41" t="inlineStr">
        <is>
          <t>991003009209702656</t>
        </is>
      </c>
      <c r="AX41" t="inlineStr">
        <is>
          <t>991003009209702656</t>
        </is>
      </c>
      <c r="AY41" t="inlineStr">
        <is>
          <t>2256155990002656</t>
        </is>
      </c>
      <c r="AZ41" t="inlineStr">
        <is>
          <t>BOOK</t>
        </is>
      </c>
      <c r="BB41" t="inlineStr">
        <is>
          <t>9781558219014</t>
        </is>
      </c>
      <c r="BC41" t="inlineStr">
        <is>
          <t>32285003610424</t>
        </is>
      </c>
      <c r="BD41" t="inlineStr">
        <is>
          <t>893227579</t>
        </is>
      </c>
    </row>
    <row r="42">
      <c r="A42" t="inlineStr">
        <is>
          <t>No</t>
        </is>
      </c>
      <c r="B42" t="inlineStr">
        <is>
          <t>TP248.6 F69 1992</t>
        </is>
      </c>
      <c r="C42" t="inlineStr">
        <is>
          <t>0                      TP 0248600F  69          1992</t>
        </is>
      </c>
      <c r="D42" t="inlineStr">
        <is>
          <t>Superpigs and wondercorn : the brave new world of biotechnology and where it all may lead / Michael W. Fox.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K42" t="inlineStr">
        <is>
          <t>Fox, Michael W., 1937-</t>
        </is>
      </c>
      <c r="L42" t="inlineStr">
        <is>
          <t>New York : Lyons &amp; Burford, c1992.</t>
        </is>
      </c>
      <c r="M42" t="inlineStr">
        <is>
          <t>1992</t>
        </is>
      </c>
      <c r="O42" t="inlineStr">
        <is>
          <t>eng</t>
        </is>
      </c>
      <c r="P42" t="inlineStr">
        <is>
          <t>nyu</t>
        </is>
      </c>
      <c r="R42" t="inlineStr">
        <is>
          <t xml:space="preserve">TP </t>
        </is>
      </c>
      <c r="S42" t="n">
        <v>18</v>
      </c>
      <c r="T42" t="n">
        <v>18</v>
      </c>
      <c r="U42" t="inlineStr">
        <is>
          <t>1995-09-24</t>
        </is>
      </c>
      <c r="V42" t="inlineStr">
        <is>
          <t>1995-09-24</t>
        </is>
      </c>
      <c r="W42" t="inlineStr">
        <is>
          <t>1992-10-15</t>
        </is>
      </c>
      <c r="X42" t="inlineStr">
        <is>
          <t>1992-10-15</t>
        </is>
      </c>
      <c r="Y42" t="n">
        <v>657</v>
      </c>
      <c r="Z42" t="n">
        <v>597</v>
      </c>
      <c r="AA42" t="n">
        <v>615</v>
      </c>
      <c r="AB42" t="n">
        <v>5</v>
      </c>
      <c r="AC42" t="n">
        <v>5</v>
      </c>
      <c r="AD42" t="n">
        <v>20</v>
      </c>
      <c r="AE42" t="n">
        <v>22</v>
      </c>
      <c r="AF42" t="n">
        <v>8</v>
      </c>
      <c r="AG42" t="n">
        <v>9</v>
      </c>
      <c r="AH42" t="n">
        <v>6</v>
      </c>
      <c r="AI42" t="n">
        <v>7</v>
      </c>
      <c r="AJ42" t="n">
        <v>8</v>
      </c>
      <c r="AK42" t="n">
        <v>8</v>
      </c>
      <c r="AL42" t="n">
        <v>2</v>
      </c>
      <c r="AM42" t="n">
        <v>2</v>
      </c>
      <c r="AN42" t="n">
        <v>2</v>
      </c>
      <c r="AO42" t="n">
        <v>2</v>
      </c>
      <c r="AP42" t="inlineStr">
        <is>
          <t>No</t>
        </is>
      </c>
      <c r="AQ42" t="inlineStr">
        <is>
          <t>Yes</t>
        </is>
      </c>
      <c r="AR42">
        <f>HYPERLINK("http://catalog.hathitrust.org/Record/002615524","HathiTrust Record")</f>
        <v/>
      </c>
      <c r="AS42">
        <f>HYPERLINK("https://creighton-primo.hosted.exlibrisgroup.com/primo-explore/search?tab=default_tab&amp;search_scope=EVERYTHING&amp;vid=01CRU&amp;lang=en_US&amp;offset=0&amp;query=any,contains,991002047379702656","Catalog Record")</f>
        <v/>
      </c>
      <c r="AT42">
        <f>HYPERLINK("http://www.worldcat.org/oclc/26131704","WorldCat Record")</f>
        <v/>
      </c>
      <c r="AU42" t="inlineStr">
        <is>
          <t>28822872:eng</t>
        </is>
      </c>
      <c r="AV42" t="inlineStr">
        <is>
          <t>26131704</t>
        </is>
      </c>
      <c r="AW42" t="inlineStr">
        <is>
          <t>991002047379702656</t>
        </is>
      </c>
      <c r="AX42" t="inlineStr">
        <is>
          <t>991002047379702656</t>
        </is>
      </c>
      <c r="AY42" t="inlineStr">
        <is>
          <t>2259914100002656</t>
        </is>
      </c>
      <c r="AZ42" t="inlineStr">
        <is>
          <t>BOOK</t>
        </is>
      </c>
      <c r="BB42" t="inlineStr">
        <is>
          <t>9781558211827</t>
        </is>
      </c>
      <c r="BC42" t="inlineStr">
        <is>
          <t>32285001318178</t>
        </is>
      </c>
      <c r="BD42" t="inlineStr">
        <is>
          <t>893603148</t>
        </is>
      </c>
    </row>
    <row r="43">
      <c r="A43" t="inlineStr">
        <is>
          <t>No</t>
        </is>
      </c>
      <c r="B43" t="inlineStr">
        <is>
          <t>TP248.65.F66 C48 2001</t>
        </is>
      </c>
      <c r="C43" t="inlineStr">
        <is>
          <t>0                      TP 0248650F  66                 C  48          2001</t>
        </is>
      </c>
      <c r="D43" t="inlineStr">
        <is>
          <t>Lords of the harvest : biotech, big money, and the future of food / Daniel Charles.</t>
        </is>
      </c>
      <c r="F43" t="inlineStr">
        <is>
          <t>No</t>
        </is>
      </c>
      <c r="G43" t="inlineStr">
        <is>
          <t>1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K43" t="inlineStr">
        <is>
          <t>Charles, Daniel.</t>
        </is>
      </c>
      <c r="L43" t="inlineStr">
        <is>
          <t>Cambridge, Mass. : Perseus Publ., 2001.</t>
        </is>
      </c>
      <c r="M43" t="inlineStr">
        <is>
          <t>2001</t>
        </is>
      </c>
      <c r="O43" t="inlineStr">
        <is>
          <t>eng</t>
        </is>
      </c>
      <c r="P43" t="inlineStr">
        <is>
          <t>mau</t>
        </is>
      </c>
      <c r="R43" t="inlineStr">
        <is>
          <t xml:space="preserve">TP </t>
        </is>
      </c>
      <c r="S43" t="n">
        <v>8</v>
      </c>
      <c r="T43" t="n">
        <v>8</v>
      </c>
      <c r="U43" t="inlineStr">
        <is>
          <t>2007-05-31</t>
        </is>
      </c>
      <c r="V43" t="inlineStr">
        <is>
          <t>2007-05-31</t>
        </is>
      </c>
      <c r="W43" t="inlineStr">
        <is>
          <t>2001-12-18</t>
        </is>
      </c>
      <c r="X43" t="inlineStr">
        <is>
          <t>2001-12-18</t>
        </is>
      </c>
      <c r="Y43" t="n">
        <v>1157</v>
      </c>
      <c r="Z43" t="n">
        <v>1045</v>
      </c>
      <c r="AA43" t="n">
        <v>1220</v>
      </c>
      <c r="AB43" t="n">
        <v>9</v>
      </c>
      <c r="AC43" t="n">
        <v>12</v>
      </c>
      <c r="AD43" t="n">
        <v>37</v>
      </c>
      <c r="AE43" t="n">
        <v>44</v>
      </c>
      <c r="AF43" t="n">
        <v>14</v>
      </c>
      <c r="AG43" t="n">
        <v>17</v>
      </c>
      <c r="AH43" t="n">
        <v>8</v>
      </c>
      <c r="AI43" t="n">
        <v>9</v>
      </c>
      <c r="AJ43" t="n">
        <v>14</v>
      </c>
      <c r="AK43" t="n">
        <v>16</v>
      </c>
      <c r="AL43" t="n">
        <v>6</v>
      </c>
      <c r="AM43" t="n">
        <v>8</v>
      </c>
      <c r="AN43" t="n">
        <v>2</v>
      </c>
      <c r="AO43" t="n">
        <v>3</v>
      </c>
      <c r="AP43" t="inlineStr">
        <is>
          <t>No</t>
        </is>
      </c>
      <c r="AQ43" t="inlineStr">
        <is>
          <t>No</t>
        </is>
      </c>
      <c r="AS43">
        <f>HYPERLINK("https://creighton-primo.hosted.exlibrisgroup.com/primo-explore/search?tab=default_tab&amp;search_scope=EVERYTHING&amp;vid=01CRU&amp;lang=en_US&amp;offset=0&amp;query=any,contains,991003677209702656","Catalog Record")</f>
        <v/>
      </c>
      <c r="AT43">
        <f>HYPERLINK("http://www.worldcat.org/oclc/48071336","WorldCat Record")</f>
        <v/>
      </c>
      <c r="AU43" t="inlineStr">
        <is>
          <t>1089578:eng</t>
        </is>
      </c>
      <c r="AV43" t="inlineStr">
        <is>
          <t>48071336</t>
        </is>
      </c>
      <c r="AW43" t="inlineStr">
        <is>
          <t>991003677209702656</t>
        </is>
      </c>
      <c r="AX43" t="inlineStr">
        <is>
          <t>991003677209702656</t>
        </is>
      </c>
      <c r="AY43" t="inlineStr">
        <is>
          <t>2256991690002656</t>
        </is>
      </c>
      <c r="AZ43" t="inlineStr">
        <is>
          <t>BOOK</t>
        </is>
      </c>
      <c r="BB43" t="inlineStr">
        <is>
          <t>9780738202914</t>
        </is>
      </c>
      <c r="BC43" t="inlineStr">
        <is>
          <t>32285004428933</t>
        </is>
      </c>
      <c r="BD43" t="inlineStr">
        <is>
          <t>893800016</t>
        </is>
      </c>
    </row>
    <row r="44">
      <c r="A44" t="inlineStr">
        <is>
          <t>No</t>
        </is>
      </c>
      <c r="B44" t="inlineStr">
        <is>
          <t>TP248.65.F66 C85 2000</t>
        </is>
      </c>
      <c r="C44" t="inlineStr">
        <is>
          <t>0                      TP 0248650F  66                 C  85          2000</t>
        </is>
      </c>
      <c r="D44" t="inlineStr">
        <is>
          <t>Genetically engineered food : a self-defense guide for consumers / by Ronnie Cummins and Ben Lilliston ; foreword by Andrew Kimbrell.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K44" t="inlineStr">
        <is>
          <t>Cummins, Ronnie.</t>
        </is>
      </c>
      <c r="L44" t="inlineStr">
        <is>
          <t>New York ; Marlowe, c2000.</t>
        </is>
      </c>
      <c r="M44" t="inlineStr">
        <is>
          <t>2000</t>
        </is>
      </c>
      <c r="O44" t="inlineStr">
        <is>
          <t>eng</t>
        </is>
      </c>
      <c r="P44" t="inlineStr">
        <is>
          <t>nyu</t>
        </is>
      </c>
      <c r="R44" t="inlineStr">
        <is>
          <t xml:space="preserve">TP </t>
        </is>
      </c>
      <c r="S44" t="n">
        <v>18</v>
      </c>
      <c r="T44" t="n">
        <v>18</v>
      </c>
      <c r="U44" t="inlineStr">
        <is>
          <t>2009-11-15</t>
        </is>
      </c>
      <c r="V44" t="inlineStr">
        <is>
          <t>2009-11-15</t>
        </is>
      </c>
      <c r="W44" t="inlineStr">
        <is>
          <t>2000-12-05</t>
        </is>
      </c>
      <c r="X44" t="inlineStr">
        <is>
          <t>2000-12-05</t>
        </is>
      </c>
      <c r="Y44" t="n">
        <v>740</v>
      </c>
      <c r="Z44" t="n">
        <v>685</v>
      </c>
      <c r="AA44" t="n">
        <v>825</v>
      </c>
      <c r="AB44" t="n">
        <v>6</v>
      </c>
      <c r="AC44" t="n">
        <v>6</v>
      </c>
      <c r="AD44" t="n">
        <v>11</v>
      </c>
      <c r="AE44" t="n">
        <v>11</v>
      </c>
      <c r="AF44" t="n">
        <v>6</v>
      </c>
      <c r="AG44" t="n">
        <v>6</v>
      </c>
      <c r="AH44" t="n">
        <v>1</v>
      </c>
      <c r="AI44" t="n">
        <v>1</v>
      </c>
      <c r="AJ44" t="n">
        <v>2</v>
      </c>
      <c r="AK44" t="n">
        <v>2</v>
      </c>
      <c r="AL44" t="n">
        <v>3</v>
      </c>
      <c r="AM44" t="n">
        <v>3</v>
      </c>
      <c r="AN44" t="n">
        <v>0</v>
      </c>
      <c r="AO44" t="n">
        <v>0</v>
      </c>
      <c r="AP44" t="inlineStr">
        <is>
          <t>No</t>
        </is>
      </c>
      <c r="AQ44" t="inlineStr">
        <is>
          <t>No</t>
        </is>
      </c>
      <c r="AS44">
        <f>HYPERLINK("https://creighton-primo.hosted.exlibrisgroup.com/primo-explore/search?tab=default_tab&amp;search_scope=EVERYTHING&amp;vid=01CRU&amp;lang=en_US&amp;offset=0&amp;query=any,contains,991003347799702656","Catalog Record")</f>
        <v/>
      </c>
      <c r="AT44">
        <f>HYPERLINK("http://www.worldcat.org/oclc/43323763","WorldCat Record")</f>
        <v/>
      </c>
      <c r="AU44" t="inlineStr">
        <is>
          <t>1086322:eng</t>
        </is>
      </c>
      <c r="AV44" t="inlineStr">
        <is>
          <t>43323763</t>
        </is>
      </c>
      <c r="AW44" t="inlineStr">
        <is>
          <t>991003347799702656</t>
        </is>
      </c>
      <c r="AX44" t="inlineStr">
        <is>
          <t>991003347799702656</t>
        </is>
      </c>
      <c r="AY44" t="inlineStr">
        <is>
          <t>2272179570002656</t>
        </is>
      </c>
      <c r="AZ44" t="inlineStr">
        <is>
          <t>BOOK</t>
        </is>
      </c>
      <c r="BB44" t="inlineStr">
        <is>
          <t>9781569246351</t>
        </is>
      </c>
      <c r="BC44" t="inlineStr">
        <is>
          <t>32285004275169</t>
        </is>
      </c>
      <c r="BD44" t="inlineStr">
        <is>
          <t>893604705</t>
        </is>
      </c>
    </row>
    <row r="45">
      <c r="A45" t="inlineStr">
        <is>
          <t>No</t>
        </is>
      </c>
      <c r="B45" t="inlineStr">
        <is>
          <t>TP358 .M478 1990</t>
        </is>
      </c>
      <c r="C45" t="inlineStr">
        <is>
          <t>0                      TP 0358000M  478         1990</t>
        </is>
      </c>
      <c r="D45" t="inlineStr">
        <is>
          <t>Methanol as an alternative fuel choice : an assessment / Wilfrid L. Kohl, editor.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L45" t="inlineStr">
        <is>
          <t>Washington, D.C. : International Energy Program, Foreign Policy Institute, the Paul H. Nitze School of Advanced International Studies, the Johns Hopkins University, c1990.</t>
        </is>
      </c>
      <c r="M45" t="inlineStr">
        <is>
          <t>1990</t>
        </is>
      </c>
      <c r="O45" t="inlineStr">
        <is>
          <t>eng</t>
        </is>
      </c>
      <c r="P45" t="inlineStr">
        <is>
          <t>dcu</t>
        </is>
      </c>
      <c r="R45" t="inlineStr">
        <is>
          <t xml:space="preserve">TP </t>
        </is>
      </c>
      <c r="S45" t="n">
        <v>1</v>
      </c>
      <c r="T45" t="n">
        <v>1</v>
      </c>
      <c r="U45" t="inlineStr">
        <is>
          <t>1992-11-12</t>
        </is>
      </c>
      <c r="V45" t="inlineStr">
        <is>
          <t>1992-11-12</t>
        </is>
      </c>
      <c r="W45" t="inlineStr">
        <is>
          <t>1990-09-12</t>
        </is>
      </c>
      <c r="X45" t="inlineStr">
        <is>
          <t>1990-09-12</t>
        </is>
      </c>
      <c r="Y45" t="n">
        <v>744</v>
      </c>
      <c r="Z45" t="n">
        <v>727</v>
      </c>
      <c r="AA45" t="n">
        <v>729</v>
      </c>
      <c r="AB45" t="n">
        <v>5</v>
      </c>
      <c r="AC45" t="n">
        <v>5</v>
      </c>
      <c r="AD45" t="n">
        <v>32</v>
      </c>
      <c r="AE45" t="n">
        <v>32</v>
      </c>
      <c r="AF45" t="n">
        <v>13</v>
      </c>
      <c r="AG45" t="n">
        <v>13</v>
      </c>
      <c r="AH45" t="n">
        <v>8</v>
      </c>
      <c r="AI45" t="n">
        <v>8</v>
      </c>
      <c r="AJ45" t="n">
        <v>15</v>
      </c>
      <c r="AK45" t="n">
        <v>15</v>
      </c>
      <c r="AL45" t="n">
        <v>4</v>
      </c>
      <c r="AM45" t="n">
        <v>4</v>
      </c>
      <c r="AN45" t="n">
        <v>0</v>
      </c>
      <c r="AO45" t="n">
        <v>0</v>
      </c>
      <c r="AP45" t="inlineStr">
        <is>
          <t>No</t>
        </is>
      </c>
      <c r="AQ45" t="inlineStr">
        <is>
          <t>Yes</t>
        </is>
      </c>
      <c r="AR45">
        <f>HYPERLINK("http://catalog.hathitrust.org/Record/002208785","HathiTrust Record")</f>
        <v/>
      </c>
      <c r="AS45">
        <f>HYPERLINK("https://creighton-primo.hosted.exlibrisgroup.com/primo-explore/search?tab=default_tab&amp;search_scope=EVERYTHING&amp;vid=01CRU&amp;lang=en_US&amp;offset=0&amp;query=any,contains,991001737199702656","Catalog Record")</f>
        <v/>
      </c>
      <c r="AT45">
        <f>HYPERLINK("http://www.worldcat.org/oclc/21973549","WorldCat Record")</f>
        <v/>
      </c>
      <c r="AU45" t="inlineStr">
        <is>
          <t>433934528:eng</t>
        </is>
      </c>
      <c r="AV45" t="inlineStr">
        <is>
          <t>21973549</t>
        </is>
      </c>
      <c r="AW45" t="inlineStr">
        <is>
          <t>991001737199702656</t>
        </is>
      </c>
      <c r="AX45" t="inlineStr">
        <is>
          <t>991001737199702656</t>
        </is>
      </c>
      <c r="AY45" t="inlineStr">
        <is>
          <t>2266454860002656</t>
        </is>
      </c>
      <c r="AZ45" t="inlineStr">
        <is>
          <t>BOOK</t>
        </is>
      </c>
      <c r="BB45" t="inlineStr">
        <is>
          <t>9780941700641</t>
        </is>
      </c>
      <c r="BC45" t="inlineStr">
        <is>
          <t>32285000276807</t>
        </is>
      </c>
      <c r="BD45" t="inlineStr">
        <is>
          <t>893690852</t>
        </is>
      </c>
    </row>
    <row r="46">
      <c r="A46" t="inlineStr">
        <is>
          <t>No</t>
        </is>
      </c>
      <c r="B46" t="inlineStr">
        <is>
          <t>TP482 .M23</t>
        </is>
      </c>
      <c r="C46" t="inlineStr">
        <is>
          <t>0                      TP 0482000M  23</t>
        </is>
      </c>
      <c r="D46" t="inlineStr">
        <is>
          <t>Cryogenics.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K46" t="inlineStr">
        <is>
          <t>McClintock, Michael.</t>
        </is>
      </c>
      <c r="L46" t="inlineStr">
        <is>
          <t>New York : Reinhold Pub. Corp., [1964]</t>
        </is>
      </c>
      <c r="M46" t="inlineStr">
        <is>
          <t>1964</t>
        </is>
      </c>
      <c r="O46" t="inlineStr">
        <is>
          <t>eng</t>
        </is>
      </c>
      <c r="P46" t="inlineStr">
        <is>
          <t xml:space="preserve">xx </t>
        </is>
      </c>
      <c r="R46" t="inlineStr">
        <is>
          <t xml:space="preserve">TP </t>
        </is>
      </c>
      <c r="S46" t="n">
        <v>5</v>
      </c>
      <c r="T46" t="n">
        <v>5</v>
      </c>
      <c r="U46" t="inlineStr">
        <is>
          <t>2006-02-03</t>
        </is>
      </c>
      <c r="V46" t="inlineStr">
        <is>
          <t>2006-02-03</t>
        </is>
      </c>
      <c r="W46" t="inlineStr">
        <is>
          <t>1990-11-30</t>
        </is>
      </c>
      <c r="X46" t="inlineStr">
        <is>
          <t>1990-11-30</t>
        </is>
      </c>
      <c r="Y46" t="n">
        <v>446</v>
      </c>
      <c r="Z46" t="n">
        <v>358</v>
      </c>
      <c r="AA46" t="n">
        <v>365</v>
      </c>
      <c r="AB46" t="n">
        <v>4</v>
      </c>
      <c r="AC46" t="n">
        <v>4</v>
      </c>
      <c r="AD46" t="n">
        <v>11</v>
      </c>
      <c r="AE46" t="n">
        <v>11</v>
      </c>
      <c r="AF46" t="n">
        <v>3</v>
      </c>
      <c r="AG46" t="n">
        <v>3</v>
      </c>
      <c r="AH46" t="n">
        <v>2</v>
      </c>
      <c r="AI46" t="n">
        <v>2</v>
      </c>
      <c r="AJ46" t="n">
        <v>6</v>
      </c>
      <c r="AK46" t="n">
        <v>6</v>
      </c>
      <c r="AL46" t="n">
        <v>3</v>
      </c>
      <c r="AM46" t="n">
        <v>3</v>
      </c>
      <c r="AN46" t="n">
        <v>0</v>
      </c>
      <c r="AO46" t="n">
        <v>0</v>
      </c>
      <c r="AP46" t="inlineStr">
        <is>
          <t>No</t>
        </is>
      </c>
      <c r="AQ46" t="inlineStr">
        <is>
          <t>Yes</t>
        </is>
      </c>
      <c r="AR46">
        <f>HYPERLINK("http://catalog.hathitrust.org/Record/001043334","HathiTrust Record")</f>
        <v/>
      </c>
      <c r="AS46">
        <f>HYPERLINK("https://creighton-primo.hosted.exlibrisgroup.com/primo-explore/search?tab=default_tab&amp;search_scope=EVERYTHING&amp;vid=01CRU&amp;lang=en_US&amp;offset=0&amp;query=any,contains,991003757149702656","Catalog Record")</f>
        <v/>
      </c>
      <c r="AT46">
        <f>HYPERLINK("http://www.worldcat.org/oclc/1439990","WorldCat Record")</f>
        <v/>
      </c>
      <c r="AU46" t="inlineStr">
        <is>
          <t>2342745:eng</t>
        </is>
      </c>
      <c r="AV46" t="inlineStr">
        <is>
          <t>1439990</t>
        </is>
      </c>
      <c r="AW46" t="inlineStr">
        <is>
          <t>991003757149702656</t>
        </is>
      </c>
      <c r="AX46" t="inlineStr">
        <is>
          <t>991003757149702656</t>
        </is>
      </c>
      <c r="AY46" t="inlineStr">
        <is>
          <t>2269660540002656</t>
        </is>
      </c>
      <c r="AZ46" t="inlineStr">
        <is>
          <t>BOOK</t>
        </is>
      </c>
      <c r="BC46" t="inlineStr">
        <is>
          <t>32285000411354</t>
        </is>
      </c>
      <c r="BD46" t="inlineStr">
        <is>
          <t>893318367</t>
        </is>
      </c>
    </row>
    <row r="47">
      <c r="A47" t="inlineStr">
        <is>
          <t>No</t>
        </is>
      </c>
      <c r="B47" t="inlineStr">
        <is>
          <t>TP593 .E83</t>
        </is>
      </c>
      <c r="C47" t="inlineStr">
        <is>
          <t>0                      TP 0593000E  83</t>
        </is>
      </c>
      <c r="D47" t="inlineStr">
        <is>
          <t>Ethyl alcohol production and use as a motor fuel / edited by J. K. Paul.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L47" t="inlineStr">
        <is>
          <t>Park Ridge, N.J. : Noyes Data Corp., 1979.</t>
        </is>
      </c>
      <c r="M47" t="inlineStr">
        <is>
          <t>1979</t>
        </is>
      </c>
      <c r="O47" t="inlineStr">
        <is>
          <t>eng</t>
        </is>
      </c>
      <c r="P47" t="inlineStr">
        <is>
          <t>nju</t>
        </is>
      </c>
      <c r="Q47" t="inlineStr">
        <is>
          <t>Chemical technology review ; no. 144</t>
        </is>
      </c>
      <c r="R47" t="inlineStr">
        <is>
          <t xml:space="preserve">TP </t>
        </is>
      </c>
      <c r="S47" t="n">
        <v>4</v>
      </c>
      <c r="T47" t="n">
        <v>4</v>
      </c>
      <c r="U47" t="inlineStr">
        <is>
          <t>1994-02-27</t>
        </is>
      </c>
      <c r="V47" t="inlineStr">
        <is>
          <t>1994-02-27</t>
        </is>
      </c>
      <c r="W47" t="inlineStr">
        <is>
          <t>1992-10-29</t>
        </is>
      </c>
      <c r="X47" t="inlineStr">
        <is>
          <t>1992-10-29</t>
        </is>
      </c>
      <c r="Y47" t="n">
        <v>388</v>
      </c>
      <c r="Z47" t="n">
        <v>309</v>
      </c>
      <c r="AA47" t="n">
        <v>316</v>
      </c>
      <c r="AB47" t="n">
        <v>4</v>
      </c>
      <c r="AC47" t="n">
        <v>4</v>
      </c>
      <c r="AD47" t="n">
        <v>9</v>
      </c>
      <c r="AE47" t="n">
        <v>9</v>
      </c>
      <c r="AF47" t="n">
        <v>3</v>
      </c>
      <c r="AG47" t="n">
        <v>3</v>
      </c>
      <c r="AH47" t="n">
        <v>2</v>
      </c>
      <c r="AI47" t="n">
        <v>2</v>
      </c>
      <c r="AJ47" t="n">
        <v>3</v>
      </c>
      <c r="AK47" t="n">
        <v>3</v>
      </c>
      <c r="AL47" t="n">
        <v>3</v>
      </c>
      <c r="AM47" t="n">
        <v>3</v>
      </c>
      <c r="AN47" t="n">
        <v>0</v>
      </c>
      <c r="AO47" t="n">
        <v>0</v>
      </c>
      <c r="AP47" t="inlineStr">
        <is>
          <t>No</t>
        </is>
      </c>
      <c r="AQ47" t="inlineStr">
        <is>
          <t>Yes</t>
        </is>
      </c>
      <c r="AR47">
        <f>HYPERLINK("http://catalog.hathitrust.org/Record/000024303","HathiTrust Record")</f>
        <v/>
      </c>
      <c r="AS47">
        <f>HYPERLINK("https://creighton-primo.hosted.exlibrisgroup.com/primo-explore/search?tab=default_tab&amp;search_scope=EVERYTHING&amp;vid=01CRU&amp;lang=en_US&amp;offset=0&amp;query=any,contains,991004850209702656","Catalog Record")</f>
        <v/>
      </c>
      <c r="AT47">
        <f>HYPERLINK("http://www.worldcat.org/oclc/5606822","WorldCat Record")</f>
        <v/>
      </c>
      <c r="AU47" t="inlineStr">
        <is>
          <t>352287234:eng</t>
        </is>
      </c>
      <c r="AV47" t="inlineStr">
        <is>
          <t>5606822</t>
        </is>
      </c>
      <c r="AW47" t="inlineStr">
        <is>
          <t>991004850209702656</t>
        </is>
      </c>
      <c r="AX47" t="inlineStr">
        <is>
          <t>991004850209702656</t>
        </is>
      </c>
      <c r="AY47" t="inlineStr">
        <is>
          <t>2266148280002656</t>
        </is>
      </c>
      <c r="AZ47" t="inlineStr">
        <is>
          <t>BOOK</t>
        </is>
      </c>
      <c r="BB47" t="inlineStr">
        <is>
          <t>9780815507802</t>
        </is>
      </c>
      <c r="BC47" t="inlineStr">
        <is>
          <t>32285001387835</t>
        </is>
      </c>
      <c r="BD47" t="inlineStr">
        <is>
          <t>893229912</t>
        </is>
      </c>
    </row>
    <row r="48">
      <c r="A48" t="inlineStr">
        <is>
          <t>No</t>
        </is>
      </c>
      <c r="B48" t="inlineStr">
        <is>
          <t>TP807 .L4 1973</t>
        </is>
      </c>
      <c r="C48" t="inlineStr">
        <is>
          <t>0                      TP 0807000L  4           1973</t>
        </is>
      </c>
      <c r="D48" t="inlineStr">
        <is>
          <t>A potter's book / with introductions by Soyetsu Yanagi and Michael Cardew.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K48" t="inlineStr">
        <is>
          <t>Leach, Bernard, 1887-1979.</t>
        </is>
      </c>
      <c r="L48" t="inlineStr">
        <is>
          <t>Great Britain ; New York : Transatlantic Arts Inc., c1970, 1973.</t>
        </is>
      </c>
      <c r="M48" t="inlineStr">
        <is>
          <t>1973</t>
        </is>
      </c>
      <c r="O48" t="inlineStr">
        <is>
          <t>eng</t>
        </is>
      </c>
      <c r="P48" t="inlineStr">
        <is>
          <t>enk</t>
        </is>
      </c>
      <c r="R48" t="inlineStr">
        <is>
          <t xml:space="preserve">TP </t>
        </is>
      </c>
      <c r="S48" t="n">
        <v>4</v>
      </c>
      <c r="T48" t="n">
        <v>4</v>
      </c>
      <c r="U48" t="inlineStr">
        <is>
          <t>2002-03-08</t>
        </is>
      </c>
      <c r="V48" t="inlineStr">
        <is>
          <t>2002-03-08</t>
        </is>
      </c>
      <c r="W48" t="inlineStr">
        <is>
          <t>1991-12-11</t>
        </is>
      </c>
      <c r="X48" t="inlineStr">
        <is>
          <t>1991-12-11</t>
        </is>
      </c>
      <c r="Y48" t="n">
        <v>71</v>
      </c>
      <c r="Z48" t="n">
        <v>71</v>
      </c>
      <c r="AA48" t="n">
        <v>1242</v>
      </c>
      <c r="AB48" t="n">
        <v>2</v>
      </c>
      <c r="AC48" t="n">
        <v>16</v>
      </c>
      <c r="AD48" t="n">
        <v>5</v>
      </c>
      <c r="AE48" t="n">
        <v>34</v>
      </c>
      <c r="AF48" t="n">
        <v>3</v>
      </c>
      <c r="AG48" t="n">
        <v>11</v>
      </c>
      <c r="AH48" t="n">
        <v>2</v>
      </c>
      <c r="AI48" t="n">
        <v>6</v>
      </c>
      <c r="AJ48" t="n">
        <v>1</v>
      </c>
      <c r="AK48" t="n">
        <v>12</v>
      </c>
      <c r="AL48" t="n">
        <v>1</v>
      </c>
      <c r="AM48" t="n">
        <v>12</v>
      </c>
      <c r="AN48" t="n">
        <v>0</v>
      </c>
      <c r="AO48" t="n">
        <v>0</v>
      </c>
      <c r="AP48" t="inlineStr">
        <is>
          <t>No</t>
        </is>
      </c>
      <c r="AQ48" t="inlineStr">
        <is>
          <t>No</t>
        </is>
      </c>
      <c r="AS48">
        <f>HYPERLINK("https://creighton-primo.hosted.exlibrisgroup.com/primo-explore/search?tab=default_tab&amp;search_scope=EVERYTHING&amp;vid=01CRU&amp;lang=en_US&amp;offset=0&amp;query=any,contains,991003974069702656","Catalog Record")</f>
        <v/>
      </c>
      <c r="AT48">
        <f>HYPERLINK("http://www.worldcat.org/oclc/1997352","WorldCat Record")</f>
        <v/>
      </c>
      <c r="AU48" t="inlineStr">
        <is>
          <t>58708333:eng</t>
        </is>
      </c>
      <c r="AV48" t="inlineStr">
        <is>
          <t>1997352</t>
        </is>
      </c>
      <c r="AW48" t="inlineStr">
        <is>
          <t>991003974069702656</t>
        </is>
      </c>
      <c r="AX48" t="inlineStr">
        <is>
          <t>991003974069702656</t>
        </is>
      </c>
      <c r="AY48" t="inlineStr">
        <is>
          <t>2261200310002656</t>
        </is>
      </c>
      <c r="AZ48" t="inlineStr">
        <is>
          <t>BOOK</t>
        </is>
      </c>
      <c r="BC48" t="inlineStr">
        <is>
          <t>32285000875475</t>
        </is>
      </c>
      <c r="BD48" t="inlineStr">
        <is>
          <t>893234891</t>
        </is>
      </c>
    </row>
    <row r="49">
      <c r="A49" t="inlineStr">
        <is>
          <t>No</t>
        </is>
      </c>
      <c r="B49" t="inlineStr">
        <is>
          <t>TP808 .R53 1970</t>
        </is>
      </c>
      <c r="C49" t="inlineStr">
        <is>
          <t>0                      TP 0808000R  53          1970</t>
        </is>
      </c>
      <c r="D49" t="inlineStr">
        <is>
          <t>Raku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K49" t="inlineStr">
        <is>
          <t>Riegger, Hal, 1921-</t>
        </is>
      </c>
      <c r="L49" t="inlineStr">
        <is>
          <t>New York : Van Nostrand Reinhold, [1970]</t>
        </is>
      </c>
      <c r="M49" t="inlineStr">
        <is>
          <t>1970</t>
        </is>
      </c>
      <c r="O49" t="inlineStr">
        <is>
          <t>eng</t>
        </is>
      </c>
      <c r="P49" t="inlineStr">
        <is>
          <t>nyu</t>
        </is>
      </c>
      <c r="R49" t="inlineStr">
        <is>
          <t xml:space="preserve">TP </t>
        </is>
      </c>
      <c r="S49" t="n">
        <v>5</v>
      </c>
      <c r="T49" t="n">
        <v>5</v>
      </c>
      <c r="U49" t="inlineStr">
        <is>
          <t>2009-04-17</t>
        </is>
      </c>
      <c r="V49" t="inlineStr">
        <is>
          <t>2009-04-17</t>
        </is>
      </c>
      <c r="W49" t="inlineStr">
        <is>
          <t>1991-12-06</t>
        </is>
      </c>
      <c r="X49" t="inlineStr">
        <is>
          <t>1991-12-06</t>
        </is>
      </c>
      <c r="Y49" t="n">
        <v>835</v>
      </c>
      <c r="Z49" t="n">
        <v>743</v>
      </c>
      <c r="AA49" t="n">
        <v>764</v>
      </c>
      <c r="AB49" t="n">
        <v>8</v>
      </c>
      <c r="AC49" t="n">
        <v>8</v>
      </c>
      <c r="AD49" t="n">
        <v>19</v>
      </c>
      <c r="AE49" t="n">
        <v>20</v>
      </c>
      <c r="AF49" t="n">
        <v>9</v>
      </c>
      <c r="AG49" t="n">
        <v>10</v>
      </c>
      <c r="AH49" t="n">
        <v>2</v>
      </c>
      <c r="AI49" t="n">
        <v>3</v>
      </c>
      <c r="AJ49" t="n">
        <v>3</v>
      </c>
      <c r="AK49" t="n">
        <v>3</v>
      </c>
      <c r="AL49" t="n">
        <v>6</v>
      </c>
      <c r="AM49" t="n">
        <v>6</v>
      </c>
      <c r="AN49" t="n">
        <v>0</v>
      </c>
      <c r="AO49" t="n">
        <v>0</v>
      </c>
      <c r="AP49" t="inlineStr">
        <is>
          <t>No</t>
        </is>
      </c>
      <c r="AQ49" t="inlineStr">
        <is>
          <t>Yes</t>
        </is>
      </c>
      <c r="AR49">
        <f>HYPERLINK("http://catalog.hathitrust.org/Record/001471688","HathiTrust Record")</f>
        <v/>
      </c>
      <c r="AS49">
        <f>HYPERLINK("https://creighton-primo.hosted.exlibrisgroup.com/primo-explore/search?tab=default_tab&amp;search_scope=EVERYTHING&amp;vid=01CRU&amp;lang=en_US&amp;offset=0&amp;query=any,contains,991000499389702656","Catalog Record")</f>
        <v/>
      </c>
      <c r="AT49">
        <f>HYPERLINK("http://www.worldcat.org/oclc/81067","WorldCat Record")</f>
        <v/>
      </c>
      <c r="AU49" t="inlineStr">
        <is>
          <t>1263311:eng</t>
        </is>
      </c>
      <c r="AV49" t="inlineStr">
        <is>
          <t>81067</t>
        </is>
      </c>
      <c r="AW49" t="inlineStr">
        <is>
          <t>991000499389702656</t>
        </is>
      </c>
      <c r="AX49" t="inlineStr">
        <is>
          <t>991000499389702656</t>
        </is>
      </c>
      <c r="AY49" t="inlineStr">
        <is>
          <t>2269718730002656</t>
        </is>
      </c>
      <c r="AZ49" t="inlineStr">
        <is>
          <t>BOOK</t>
        </is>
      </c>
      <c r="BB49" t="inlineStr">
        <is>
          <t>9780289700143</t>
        </is>
      </c>
      <c r="BC49" t="inlineStr">
        <is>
          <t>32285000838044</t>
        </is>
      </c>
      <c r="BD49" t="inlineStr">
        <is>
          <t>893689752</t>
        </is>
      </c>
    </row>
    <row r="50">
      <c r="A50" t="inlineStr">
        <is>
          <t>No</t>
        </is>
      </c>
      <c r="B50" t="inlineStr">
        <is>
          <t>TP809 .C66</t>
        </is>
      </c>
      <c r="C50" t="inlineStr">
        <is>
          <t>0                      TP 0809000C  66</t>
        </is>
      </c>
      <c r="D50" t="inlineStr">
        <is>
          <t>Ceramic formulas : the complete compendium ; a guide to clay, glaze, enamel, glass, and their colors.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K50" t="inlineStr">
        <is>
          <t>Conrad, John W.</t>
        </is>
      </c>
      <c r="L50" t="inlineStr">
        <is>
          <t>New York : Macmillan, [1973]</t>
        </is>
      </c>
      <c r="M50" t="inlineStr">
        <is>
          <t>1973</t>
        </is>
      </c>
      <c r="O50" t="inlineStr">
        <is>
          <t>eng</t>
        </is>
      </c>
      <c r="P50" t="inlineStr">
        <is>
          <t>nyu</t>
        </is>
      </c>
      <c r="R50" t="inlineStr">
        <is>
          <t xml:space="preserve">TP </t>
        </is>
      </c>
      <c r="S50" t="n">
        <v>2</v>
      </c>
      <c r="T50" t="n">
        <v>2</v>
      </c>
      <c r="U50" t="inlineStr">
        <is>
          <t>2010-07-19</t>
        </is>
      </c>
      <c r="V50" t="inlineStr">
        <is>
          <t>2010-07-19</t>
        </is>
      </c>
      <c r="W50" t="inlineStr">
        <is>
          <t>1993-10-22</t>
        </is>
      </c>
      <c r="X50" t="inlineStr">
        <is>
          <t>1993-10-22</t>
        </is>
      </c>
      <c r="Y50" t="n">
        <v>797</v>
      </c>
      <c r="Z50" t="n">
        <v>695</v>
      </c>
      <c r="AA50" t="n">
        <v>736</v>
      </c>
      <c r="AB50" t="n">
        <v>6</v>
      </c>
      <c r="AC50" t="n">
        <v>6</v>
      </c>
      <c r="AD50" t="n">
        <v>13</v>
      </c>
      <c r="AE50" t="n">
        <v>13</v>
      </c>
      <c r="AF50" t="n">
        <v>5</v>
      </c>
      <c r="AG50" t="n">
        <v>5</v>
      </c>
      <c r="AH50" t="n">
        <v>2</v>
      </c>
      <c r="AI50" t="n">
        <v>2</v>
      </c>
      <c r="AJ50" t="n">
        <v>2</v>
      </c>
      <c r="AK50" t="n">
        <v>2</v>
      </c>
      <c r="AL50" t="n">
        <v>5</v>
      </c>
      <c r="AM50" t="n">
        <v>5</v>
      </c>
      <c r="AN50" t="n">
        <v>0</v>
      </c>
      <c r="AO50" t="n">
        <v>0</v>
      </c>
      <c r="AP50" t="inlineStr">
        <is>
          <t>No</t>
        </is>
      </c>
      <c r="AQ50" t="inlineStr">
        <is>
          <t>Yes</t>
        </is>
      </c>
      <c r="AR50">
        <f>HYPERLINK("http://catalog.hathitrust.org/Record/000031456","HathiTrust Record")</f>
        <v/>
      </c>
      <c r="AS50">
        <f>HYPERLINK("https://creighton-primo.hosted.exlibrisgroup.com/primo-explore/search?tab=default_tab&amp;search_scope=EVERYTHING&amp;vid=01CRU&amp;lang=en_US&amp;offset=0&amp;query=any,contains,991003671769702656","Catalog Record")</f>
        <v/>
      </c>
      <c r="AT50">
        <f>HYPERLINK("http://www.worldcat.org/oclc/1289015","WorldCat Record")</f>
        <v/>
      </c>
      <c r="AU50" t="inlineStr">
        <is>
          <t>429908829:eng</t>
        </is>
      </c>
      <c r="AV50" t="inlineStr">
        <is>
          <t>1289015</t>
        </is>
      </c>
      <c r="AW50" t="inlineStr">
        <is>
          <t>991003671769702656</t>
        </is>
      </c>
      <c r="AX50" t="inlineStr">
        <is>
          <t>991003671769702656</t>
        </is>
      </c>
      <c r="AY50" t="inlineStr">
        <is>
          <t>2266497240002656</t>
        </is>
      </c>
      <c r="AZ50" t="inlineStr">
        <is>
          <t>BOOK</t>
        </is>
      </c>
      <c r="BC50" t="inlineStr">
        <is>
          <t>32285001794170</t>
        </is>
      </c>
      <c r="BD50" t="inlineStr">
        <is>
          <t>893240461</t>
        </is>
      </c>
    </row>
    <row r="51">
      <c r="A51" t="inlineStr">
        <is>
          <t>No</t>
        </is>
      </c>
      <c r="B51" t="inlineStr">
        <is>
          <t>TP823 .H66 1984</t>
        </is>
      </c>
      <c r="C51" t="inlineStr">
        <is>
          <t>0                      TP 0823000H  66          1984</t>
        </is>
      </c>
      <c r="D51" t="inlineStr">
        <is>
          <t>The ceramic spectrum : a simplified approach to glaze &amp; color development / Robin Hopper.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K51" t="inlineStr">
        <is>
          <t>Hopper, Robin.</t>
        </is>
      </c>
      <c r="L51" t="inlineStr">
        <is>
          <t>Radnor, Pa. : Chilton Book Co., c1984.</t>
        </is>
      </c>
      <c r="M51" t="inlineStr">
        <is>
          <t>1984</t>
        </is>
      </c>
      <c r="O51" t="inlineStr">
        <is>
          <t>eng</t>
        </is>
      </c>
      <c r="P51" t="inlineStr">
        <is>
          <t>pau</t>
        </is>
      </c>
      <c r="R51" t="inlineStr">
        <is>
          <t xml:space="preserve">TP </t>
        </is>
      </c>
      <c r="S51" t="n">
        <v>2</v>
      </c>
      <c r="T51" t="n">
        <v>2</v>
      </c>
      <c r="U51" t="inlineStr">
        <is>
          <t>1993-10-04</t>
        </is>
      </c>
      <c r="V51" t="inlineStr">
        <is>
          <t>1993-10-04</t>
        </is>
      </c>
      <c r="W51" t="inlineStr">
        <is>
          <t>1993-06-16</t>
        </is>
      </c>
      <c r="X51" t="inlineStr">
        <is>
          <t>1993-06-16</t>
        </is>
      </c>
      <c r="Y51" t="n">
        <v>679</v>
      </c>
      <c r="Z51" t="n">
        <v>608</v>
      </c>
      <c r="AA51" t="n">
        <v>883</v>
      </c>
      <c r="AB51" t="n">
        <v>8</v>
      </c>
      <c r="AC51" t="n">
        <v>8</v>
      </c>
      <c r="AD51" t="n">
        <v>15</v>
      </c>
      <c r="AE51" t="n">
        <v>18</v>
      </c>
      <c r="AF51" t="n">
        <v>7</v>
      </c>
      <c r="AG51" t="n">
        <v>8</v>
      </c>
      <c r="AH51" t="n">
        <v>1</v>
      </c>
      <c r="AI51" t="n">
        <v>2</v>
      </c>
      <c r="AJ51" t="n">
        <v>2</v>
      </c>
      <c r="AK51" t="n">
        <v>4</v>
      </c>
      <c r="AL51" t="n">
        <v>7</v>
      </c>
      <c r="AM51" t="n">
        <v>7</v>
      </c>
      <c r="AN51" t="n">
        <v>0</v>
      </c>
      <c r="AO51" t="n">
        <v>0</v>
      </c>
      <c r="AP51" t="inlineStr">
        <is>
          <t>No</t>
        </is>
      </c>
      <c r="AQ51" t="inlineStr">
        <is>
          <t>Yes</t>
        </is>
      </c>
      <c r="AR51">
        <f>HYPERLINK("http://catalog.hathitrust.org/Record/000350464","HathiTrust Record")</f>
        <v/>
      </c>
      <c r="AS51">
        <f>HYPERLINK("https://creighton-primo.hosted.exlibrisgroup.com/primo-explore/search?tab=default_tab&amp;search_scope=EVERYTHING&amp;vid=01CRU&amp;lang=en_US&amp;offset=0&amp;query=any,contains,991000242139702656","Catalog Record")</f>
        <v/>
      </c>
      <c r="AT51">
        <f>HYPERLINK("http://www.worldcat.org/oclc/9685292","WorldCat Record")</f>
        <v/>
      </c>
      <c r="AU51" t="inlineStr">
        <is>
          <t>37295451:eng</t>
        </is>
      </c>
      <c r="AV51" t="inlineStr">
        <is>
          <t>9685292</t>
        </is>
      </c>
      <c r="AW51" t="inlineStr">
        <is>
          <t>991000242139702656</t>
        </is>
      </c>
      <c r="AX51" t="inlineStr">
        <is>
          <t>991000242139702656</t>
        </is>
      </c>
      <c r="AY51" t="inlineStr">
        <is>
          <t>2263252680002656</t>
        </is>
      </c>
      <c r="AZ51" t="inlineStr">
        <is>
          <t>BOOK</t>
        </is>
      </c>
      <c r="BB51" t="inlineStr">
        <is>
          <t>9780801972751</t>
        </is>
      </c>
      <c r="BC51" t="inlineStr">
        <is>
          <t>32285001731735</t>
        </is>
      </c>
      <c r="BD51" t="inlineStr">
        <is>
          <t>893502362</t>
        </is>
      </c>
    </row>
    <row r="52">
      <c r="A52" t="inlineStr">
        <is>
          <t>No</t>
        </is>
      </c>
      <c r="B52" t="inlineStr">
        <is>
          <t>TS1109 .A28 1999</t>
        </is>
      </c>
      <c r="C52" t="inlineStr">
        <is>
          <t>0                      TS 1109000A  28          1999</t>
        </is>
      </c>
      <c r="D52" t="inlineStr">
        <is>
          <t>Paper cuts : recovering the paper landscape / Janet M. Abramovitz and Ashley T. Mattoon ; Jane A. Peterson, editor.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K52" t="inlineStr">
        <is>
          <t>Abramovitz, Janet N.</t>
        </is>
      </c>
      <c r="L52" t="inlineStr">
        <is>
          <t>Washington, D.C. : Worldwatch Institute, c1999.</t>
        </is>
      </c>
      <c r="M52" t="inlineStr">
        <is>
          <t>1999</t>
        </is>
      </c>
      <c r="O52" t="inlineStr">
        <is>
          <t>eng</t>
        </is>
      </c>
      <c r="P52" t="inlineStr">
        <is>
          <t>dcu</t>
        </is>
      </c>
      <c r="Q52" t="inlineStr">
        <is>
          <t>Worldwatch paper ; 149</t>
        </is>
      </c>
      <c r="R52" t="inlineStr">
        <is>
          <t xml:space="preserve">TS </t>
        </is>
      </c>
      <c r="S52" t="n">
        <v>1</v>
      </c>
      <c r="T52" t="n">
        <v>1</v>
      </c>
      <c r="U52" t="inlineStr">
        <is>
          <t>2006-11-09</t>
        </is>
      </c>
      <c r="V52" t="inlineStr">
        <is>
          <t>2006-11-09</t>
        </is>
      </c>
      <c r="W52" t="inlineStr">
        <is>
          <t>2000-02-14</t>
        </is>
      </c>
      <c r="X52" t="inlineStr">
        <is>
          <t>2000-02-14</t>
        </is>
      </c>
      <c r="Y52" t="n">
        <v>484</v>
      </c>
      <c r="Z52" t="n">
        <v>414</v>
      </c>
      <c r="AA52" t="n">
        <v>418</v>
      </c>
      <c r="AB52" t="n">
        <v>4</v>
      </c>
      <c r="AC52" t="n">
        <v>4</v>
      </c>
      <c r="AD52" t="n">
        <v>22</v>
      </c>
      <c r="AE52" t="n">
        <v>22</v>
      </c>
      <c r="AF52" t="n">
        <v>8</v>
      </c>
      <c r="AG52" t="n">
        <v>8</v>
      </c>
      <c r="AH52" t="n">
        <v>4</v>
      </c>
      <c r="AI52" t="n">
        <v>4</v>
      </c>
      <c r="AJ52" t="n">
        <v>9</v>
      </c>
      <c r="AK52" t="n">
        <v>9</v>
      </c>
      <c r="AL52" t="n">
        <v>3</v>
      </c>
      <c r="AM52" t="n">
        <v>3</v>
      </c>
      <c r="AN52" t="n">
        <v>2</v>
      </c>
      <c r="AO52" t="n">
        <v>2</v>
      </c>
      <c r="AP52" t="inlineStr">
        <is>
          <t>No</t>
        </is>
      </c>
      <c r="AQ52" t="inlineStr">
        <is>
          <t>No</t>
        </is>
      </c>
      <c r="AS52">
        <f>HYPERLINK("https://creighton-primo.hosted.exlibrisgroup.com/primo-explore/search?tab=default_tab&amp;search_scope=EVERYTHING&amp;vid=01CRU&amp;lang=en_US&amp;offset=0&amp;query=any,contains,991003051409702656","Catalog Record")</f>
        <v/>
      </c>
      <c r="AT52">
        <f>HYPERLINK("http://www.worldcat.org/oclc/43074819","WorldCat Record")</f>
        <v/>
      </c>
      <c r="AU52" t="inlineStr">
        <is>
          <t>196736964:eng</t>
        </is>
      </c>
      <c r="AV52" t="inlineStr">
        <is>
          <t>43074819</t>
        </is>
      </c>
      <c r="AW52" t="inlineStr">
        <is>
          <t>991003051409702656</t>
        </is>
      </c>
      <c r="AX52" t="inlineStr">
        <is>
          <t>991003051409702656</t>
        </is>
      </c>
      <c r="AY52" t="inlineStr">
        <is>
          <t>2268485270002656</t>
        </is>
      </c>
      <c r="AZ52" t="inlineStr">
        <is>
          <t>BOOK</t>
        </is>
      </c>
      <c r="BB52" t="inlineStr">
        <is>
          <t>9781878071514</t>
        </is>
      </c>
      <c r="BC52" t="inlineStr">
        <is>
          <t>32285003662003</t>
        </is>
      </c>
      <c r="BD52" t="inlineStr">
        <is>
          <t>893348288</t>
        </is>
      </c>
    </row>
    <row r="53">
      <c r="A53" t="inlineStr">
        <is>
          <t>No</t>
        </is>
      </c>
      <c r="B53" t="inlineStr">
        <is>
          <t>TS1109 .P36 1995</t>
        </is>
      </c>
      <c r="C53" t="inlineStr">
        <is>
          <t>0                      TS 1109000P  36          1995</t>
        </is>
      </c>
      <c r="D53" t="inlineStr">
        <is>
          <t>Paper Task Force recommendations for purchasing and using environmentally preferable paper : final report / The Paper Task Force.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L53" t="inlineStr">
        <is>
          <t>[New York, N.Y.] : Environmental Defense Fund, c1995.</t>
        </is>
      </c>
      <c r="M53" t="inlineStr">
        <is>
          <t>1995</t>
        </is>
      </c>
      <c r="O53" t="inlineStr">
        <is>
          <t>eng</t>
        </is>
      </c>
      <c r="P53" t="inlineStr">
        <is>
          <t>nyu</t>
        </is>
      </c>
      <c r="R53" t="inlineStr">
        <is>
          <t xml:space="preserve">TS </t>
        </is>
      </c>
      <c r="S53" t="n">
        <v>7</v>
      </c>
      <c r="T53" t="n">
        <v>7</v>
      </c>
      <c r="U53" t="inlineStr">
        <is>
          <t>2006-11-09</t>
        </is>
      </c>
      <c r="V53" t="inlineStr">
        <is>
          <t>2006-11-09</t>
        </is>
      </c>
      <c r="W53" t="inlineStr">
        <is>
          <t>1996-09-25</t>
        </is>
      </c>
      <c r="X53" t="inlineStr">
        <is>
          <t>1996-09-25</t>
        </is>
      </c>
      <c r="Y53" t="n">
        <v>15</v>
      </c>
      <c r="Z53" t="n">
        <v>15</v>
      </c>
      <c r="AA53" t="n">
        <v>15</v>
      </c>
      <c r="AB53" t="n">
        <v>1</v>
      </c>
      <c r="AC53" t="n">
        <v>1</v>
      </c>
      <c r="AD53" t="n">
        <v>1</v>
      </c>
      <c r="AE53" t="n">
        <v>1</v>
      </c>
      <c r="AF53" t="n">
        <v>0</v>
      </c>
      <c r="AG53" t="n">
        <v>0</v>
      </c>
      <c r="AH53" t="n">
        <v>0</v>
      </c>
      <c r="AI53" t="n">
        <v>0</v>
      </c>
      <c r="AJ53" t="n">
        <v>1</v>
      </c>
      <c r="AK53" t="n">
        <v>1</v>
      </c>
      <c r="AL53" t="n">
        <v>0</v>
      </c>
      <c r="AM53" t="n">
        <v>0</v>
      </c>
      <c r="AN53" t="n">
        <v>0</v>
      </c>
      <c r="AO53" t="n">
        <v>0</v>
      </c>
      <c r="AP53" t="inlineStr">
        <is>
          <t>No</t>
        </is>
      </c>
      <c r="AQ53" t="inlineStr">
        <is>
          <t>No</t>
        </is>
      </c>
      <c r="AS53">
        <f>HYPERLINK("https://creighton-primo.hosted.exlibrisgroup.com/primo-explore/search?tab=default_tab&amp;search_scope=EVERYTHING&amp;vid=01CRU&amp;lang=en_US&amp;offset=0&amp;query=any,contains,991002620189702656","Catalog Record")</f>
        <v/>
      </c>
      <c r="AT53">
        <f>HYPERLINK("http://www.worldcat.org/oclc/34326590","WorldCat Record")</f>
        <v/>
      </c>
      <c r="AU53" t="inlineStr">
        <is>
          <t>39630344:eng</t>
        </is>
      </c>
      <c r="AV53" t="inlineStr">
        <is>
          <t>34326590</t>
        </is>
      </c>
      <c r="AW53" t="inlineStr">
        <is>
          <t>991002620189702656</t>
        </is>
      </c>
      <c r="AX53" t="inlineStr">
        <is>
          <t>991002620189702656</t>
        </is>
      </c>
      <c r="AY53" t="inlineStr">
        <is>
          <t>2263788340002656</t>
        </is>
      </c>
      <c r="AZ53" t="inlineStr">
        <is>
          <t>BOOK</t>
        </is>
      </c>
      <c r="BC53" t="inlineStr">
        <is>
          <t>32285002319829</t>
        </is>
      </c>
      <c r="BD53" t="inlineStr">
        <is>
          <t>893421601</t>
        </is>
      </c>
    </row>
    <row r="54">
      <c r="A54" t="inlineStr">
        <is>
          <t>No</t>
        </is>
      </c>
      <c r="B54" t="inlineStr">
        <is>
          <t>TS1449 .W5 1964</t>
        </is>
      </c>
      <c r="C54" t="inlineStr">
        <is>
          <t>0                      TS 1449000W  5           1964</t>
        </is>
      </c>
      <c r="D54" t="inlineStr">
        <is>
          <t>Textile fabrics and their selection.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K54" t="inlineStr">
        <is>
          <t>Wingate, Isabel Barnum.</t>
        </is>
      </c>
      <c r="L54" t="inlineStr">
        <is>
          <t>Englewood Cliffs, N.J., Prentice-Hall [1964]</t>
        </is>
      </c>
      <c r="M54" t="inlineStr">
        <is>
          <t>1964</t>
        </is>
      </c>
      <c r="N54" t="inlineStr">
        <is>
          <t>5th ed.</t>
        </is>
      </c>
      <c r="O54" t="inlineStr">
        <is>
          <t>eng</t>
        </is>
      </c>
      <c r="P54" t="inlineStr">
        <is>
          <t>nju</t>
        </is>
      </c>
      <c r="R54" t="inlineStr">
        <is>
          <t xml:space="preserve">TS </t>
        </is>
      </c>
      <c r="S54" t="n">
        <v>1</v>
      </c>
      <c r="T54" t="n">
        <v>1</v>
      </c>
      <c r="U54" t="inlineStr">
        <is>
          <t>2010-04-19</t>
        </is>
      </c>
      <c r="V54" t="inlineStr">
        <is>
          <t>2010-04-19</t>
        </is>
      </c>
      <c r="W54" t="inlineStr">
        <is>
          <t>1997-08-29</t>
        </is>
      </c>
      <c r="X54" t="inlineStr">
        <is>
          <t>1997-08-29</t>
        </is>
      </c>
      <c r="Y54" t="n">
        <v>318</v>
      </c>
      <c r="Z54" t="n">
        <v>278</v>
      </c>
      <c r="AA54" t="n">
        <v>956</v>
      </c>
      <c r="AB54" t="n">
        <v>5</v>
      </c>
      <c r="AC54" t="n">
        <v>8</v>
      </c>
      <c r="AD54" t="n">
        <v>8</v>
      </c>
      <c r="AE54" t="n">
        <v>26</v>
      </c>
      <c r="AF54" t="n">
        <v>1</v>
      </c>
      <c r="AG54" t="n">
        <v>10</v>
      </c>
      <c r="AH54" t="n">
        <v>1</v>
      </c>
      <c r="AI54" t="n">
        <v>3</v>
      </c>
      <c r="AJ54" t="n">
        <v>3</v>
      </c>
      <c r="AK54" t="n">
        <v>9</v>
      </c>
      <c r="AL54" t="n">
        <v>4</v>
      </c>
      <c r="AM54" t="n">
        <v>7</v>
      </c>
      <c r="AN54" t="n">
        <v>0</v>
      </c>
      <c r="AO54" t="n">
        <v>0</v>
      </c>
      <c r="AP54" t="inlineStr">
        <is>
          <t>No</t>
        </is>
      </c>
      <c r="AQ54" t="inlineStr">
        <is>
          <t>Yes</t>
        </is>
      </c>
      <c r="AR54">
        <f>HYPERLINK("http://catalog.hathitrust.org/Record/009056605","HathiTrust Record")</f>
        <v/>
      </c>
      <c r="AS54">
        <f>HYPERLINK("https://creighton-primo.hosted.exlibrisgroup.com/primo-explore/search?tab=default_tab&amp;search_scope=EVERYTHING&amp;vid=01CRU&amp;lang=en_US&amp;offset=0&amp;query=any,contains,991003177439702656","Catalog Record")</f>
        <v/>
      </c>
      <c r="AT54">
        <f>HYPERLINK("http://www.worldcat.org/oclc/711036","WorldCat Record")</f>
        <v/>
      </c>
      <c r="AU54" t="inlineStr">
        <is>
          <t>1285471:eng</t>
        </is>
      </c>
      <c r="AV54" t="inlineStr">
        <is>
          <t>711036</t>
        </is>
      </c>
      <c r="AW54" t="inlineStr">
        <is>
          <t>991003177439702656</t>
        </is>
      </c>
      <c r="AX54" t="inlineStr">
        <is>
          <t>991003177439702656</t>
        </is>
      </c>
      <c r="AY54" t="inlineStr">
        <is>
          <t>2264070910002656</t>
        </is>
      </c>
      <c r="AZ54" t="inlineStr">
        <is>
          <t>BOOK</t>
        </is>
      </c>
      <c r="BC54" t="inlineStr">
        <is>
          <t>32285003119855</t>
        </is>
      </c>
      <c r="BD54" t="inlineStr">
        <is>
          <t>893409989</t>
        </is>
      </c>
    </row>
    <row r="55">
      <c r="A55" t="inlineStr">
        <is>
          <t>No</t>
        </is>
      </c>
      <c r="B55" t="inlineStr">
        <is>
          <t>TS155 .H298 2000</t>
        </is>
      </c>
      <c r="C55" t="inlineStr">
        <is>
          <t>0                      TS 0155000H  298         2000</t>
        </is>
      </c>
      <c r="D55" t="inlineStr">
        <is>
          <t>Six sigma : the breakthrough management strategy revolutionizing the world's top corporations / Mikel Harry and Richard Schroeder.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K55" t="inlineStr">
        <is>
          <t>Harry, Mikel J.</t>
        </is>
      </c>
      <c r="L55" t="inlineStr">
        <is>
          <t>New York : Currency, c2000.</t>
        </is>
      </c>
      <c r="M55" t="inlineStr">
        <is>
          <t>2000</t>
        </is>
      </c>
      <c r="N55" t="inlineStr">
        <is>
          <t>1st ed.</t>
        </is>
      </c>
      <c r="O55" t="inlineStr">
        <is>
          <t>eng</t>
        </is>
      </c>
      <c r="P55" t="inlineStr">
        <is>
          <t>nyu</t>
        </is>
      </c>
      <c r="R55" t="inlineStr">
        <is>
          <t xml:space="preserve">TS </t>
        </is>
      </c>
      <c r="S55" t="n">
        <v>6</v>
      </c>
      <c r="T55" t="n">
        <v>6</v>
      </c>
      <c r="U55" t="inlineStr">
        <is>
          <t>2003-12-07</t>
        </is>
      </c>
      <c r="V55" t="inlineStr">
        <is>
          <t>2003-12-07</t>
        </is>
      </c>
      <c r="W55" t="inlineStr">
        <is>
          <t>2000-08-09</t>
        </is>
      </c>
      <c r="X55" t="inlineStr">
        <is>
          <t>2000-08-09</t>
        </is>
      </c>
      <c r="Y55" t="n">
        <v>846</v>
      </c>
      <c r="Z55" t="n">
        <v>734</v>
      </c>
      <c r="AA55" t="n">
        <v>868</v>
      </c>
      <c r="AB55" t="n">
        <v>4</v>
      </c>
      <c r="AC55" t="n">
        <v>6</v>
      </c>
      <c r="AD55" t="n">
        <v>21</v>
      </c>
      <c r="AE55" t="n">
        <v>22</v>
      </c>
      <c r="AF55" t="n">
        <v>11</v>
      </c>
      <c r="AG55" t="n">
        <v>11</v>
      </c>
      <c r="AH55" t="n">
        <v>5</v>
      </c>
      <c r="AI55" t="n">
        <v>5</v>
      </c>
      <c r="AJ55" t="n">
        <v>12</v>
      </c>
      <c r="AK55" t="n">
        <v>12</v>
      </c>
      <c r="AL55" t="n">
        <v>1</v>
      </c>
      <c r="AM55" t="n">
        <v>2</v>
      </c>
      <c r="AN55" t="n">
        <v>0</v>
      </c>
      <c r="AO55" t="n">
        <v>0</v>
      </c>
      <c r="AP55" t="inlineStr">
        <is>
          <t>No</t>
        </is>
      </c>
      <c r="AQ55" t="inlineStr">
        <is>
          <t>Yes</t>
        </is>
      </c>
      <c r="AR55">
        <f>HYPERLINK("http://catalog.hathitrust.org/Record/102007262","HathiTrust Record")</f>
        <v/>
      </c>
      <c r="AS55">
        <f>HYPERLINK("https://creighton-primo.hosted.exlibrisgroup.com/primo-explore/search?tab=default_tab&amp;search_scope=EVERYTHING&amp;vid=01CRU&amp;lang=en_US&amp;offset=0&amp;query=any,contains,991003227289702656","Catalog Record")</f>
        <v/>
      </c>
      <c r="AT55">
        <f>HYPERLINK("http://www.worldcat.org/oclc/42603295","WorldCat Record")</f>
        <v/>
      </c>
      <c r="AU55" t="inlineStr">
        <is>
          <t>793227477:eng</t>
        </is>
      </c>
      <c r="AV55" t="inlineStr">
        <is>
          <t>42603295</t>
        </is>
      </c>
      <c r="AW55" t="inlineStr">
        <is>
          <t>991003227289702656</t>
        </is>
      </c>
      <c r="AX55" t="inlineStr">
        <is>
          <t>991003227289702656</t>
        </is>
      </c>
      <c r="AY55" t="inlineStr">
        <is>
          <t>2266248390002656</t>
        </is>
      </c>
      <c r="AZ55" t="inlineStr">
        <is>
          <t>BOOK</t>
        </is>
      </c>
      <c r="BB55" t="inlineStr">
        <is>
          <t>9780385494373</t>
        </is>
      </c>
      <c r="BC55" t="inlineStr">
        <is>
          <t>32285003756854</t>
        </is>
      </c>
      <c r="BD55" t="inlineStr">
        <is>
          <t>893499066</t>
        </is>
      </c>
    </row>
    <row r="56">
      <c r="A56" t="inlineStr">
        <is>
          <t>No</t>
        </is>
      </c>
      <c r="B56" t="inlineStr">
        <is>
          <t>TS155 .J56</t>
        </is>
      </c>
      <c r="C56" t="inlineStr">
        <is>
          <t>0                      TS 0155000J  56</t>
        </is>
      </c>
      <c r="D56" t="inlineStr">
        <is>
          <t>Operations research in production planning, scheduling, and inventory control / by Lynwood A. Johnson and Douglas C. Montgomery.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K56" t="inlineStr">
        <is>
          <t>Johnson, Lynwood A.</t>
        </is>
      </c>
      <c r="L56" t="inlineStr">
        <is>
          <t>New York : Wiley, 1974.</t>
        </is>
      </c>
      <c r="M56" t="inlineStr">
        <is>
          <t>1974</t>
        </is>
      </c>
      <c r="O56" t="inlineStr">
        <is>
          <t>eng</t>
        </is>
      </c>
      <c r="P56" t="inlineStr">
        <is>
          <t>nyu</t>
        </is>
      </c>
      <c r="R56" t="inlineStr">
        <is>
          <t xml:space="preserve">TS </t>
        </is>
      </c>
      <c r="S56" t="n">
        <v>3</v>
      </c>
      <c r="T56" t="n">
        <v>3</v>
      </c>
      <c r="U56" t="inlineStr">
        <is>
          <t>1995-06-11</t>
        </is>
      </c>
      <c r="V56" t="inlineStr">
        <is>
          <t>1995-06-11</t>
        </is>
      </c>
      <c r="W56" t="inlineStr">
        <is>
          <t>1992-08-14</t>
        </is>
      </c>
      <c r="X56" t="inlineStr">
        <is>
          <t>1992-08-14</t>
        </is>
      </c>
      <c r="Y56" t="n">
        <v>499</v>
      </c>
      <c r="Z56" t="n">
        <v>326</v>
      </c>
      <c r="AA56" t="n">
        <v>333</v>
      </c>
      <c r="AB56" t="n">
        <v>2</v>
      </c>
      <c r="AC56" t="n">
        <v>2</v>
      </c>
      <c r="AD56" t="n">
        <v>13</v>
      </c>
      <c r="AE56" t="n">
        <v>13</v>
      </c>
      <c r="AF56" t="n">
        <v>7</v>
      </c>
      <c r="AG56" t="n">
        <v>7</v>
      </c>
      <c r="AH56" t="n">
        <v>0</v>
      </c>
      <c r="AI56" t="n">
        <v>0</v>
      </c>
      <c r="AJ56" t="n">
        <v>8</v>
      </c>
      <c r="AK56" t="n">
        <v>8</v>
      </c>
      <c r="AL56" t="n">
        <v>1</v>
      </c>
      <c r="AM56" t="n">
        <v>1</v>
      </c>
      <c r="AN56" t="n">
        <v>0</v>
      </c>
      <c r="AO56" t="n">
        <v>0</v>
      </c>
      <c r="AP56" t="inlineStr">
        <is>
          <t>No</t>
        </is>
      </c>
      <c r="AQ56" t="inlineStr">
        <is>
          <t>Yes</t>
        </is>
      </c>
      <c r="AR56">
        <f>HYPERLINK("http://catalog.hathitrust.org/Record/000412077","HathiTrust Record")</f>
        <v/>
      </c>
      <c r="AS56">
        <f>HYPERLINK("https://creighton-primo.hosted.exlibrisgroup.com/primo-explore/search?tab=default_tab&amp;search_scope=EVERYTHING&amp;vid=01CRU&amp;lang=en_US&amp;offset=0&amp;query=any,contains,991003200409702656","Catalog Record")</f>
        <v/>
      </c>
      <c r="AT56">
        <f>HYPERLINK("http://www.worldcat.org/oclc/724399","WorldCat Record")</f>
        <v/>
      </c>
      <c r="AU56" t="inlineStr">
        <is>
          <t>489971:eng</t>
        </is>
      </c>
      <c r="AV56" t="inlineStr">
        <is>
          <t>724399</t>
        </is>
      </c>
      <c r="AW56" t="inlineStr">
        <is>
          <t>991003200409702656</t>
        </is>
      </c>
      <c r="AX56" t="inlineStr">
        <is>
          <t>991003200409702656</t>
        </is>
      </c>
      <c r="AY56" t="inlineStr">
        <is>
          <t>2255001510002656</t>
        </is>
      </c>
      <c r="AZ56" t="inlineStr">
        <is>
          <t>BOOK</t>
        </is>
      </c>
      <c r="BB56" t="inlineStr">
        <is>
          <t>9780471446187</t>
        </is>
      </c>
      <c r="BC56" t="inlineStr">
        <is>
          <t>32285001245793</t>
        </is>
      </c>
      <c r="BD56" t="inlineStr">
        <is>
          <t>893342318</t>
        </is>
      </c>
    </row>
    <row r="57">
      <c r="A57" t="inlineStr">
        <is>
          <t>No</t>
        </is>
      </c>
      <c r="B57" t="inlineStr">
        <is>
          <t>TS155.6 .Y68 1986</t>
        </is>
      </c>
      <c r="C57" t="inlineStr">
        <is>
          <t>0                      TS 0155600Y  68          1986</t>
        </is>
      </c>
      <c r="D57" t="inlineStr">
        <is>
          <t>Flexible manufacturing systems / Clifford Young, Alice Greene.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K57" t="inlineStr">
        <is>
          <t>Young, Clifford, 1947-</t>
        </is>
      </c>
      <c r="L57" t="inlineStr">
        <is>
          <t>New York : AMA Membership Publications Division, American Management Association, c1986.</t>
        </is>
      </c>
      <c r="M57" t="inlineStr">
        <is>
          <t>1986</t>
        </is>
      </c>
      <c r="O57" t="inlineStr">
        <is>
          <t>eng</t>
        </is>
      </c>
      <c r="P57" t="inlineStr">
        <is>
          <t>nyu</t>
        </is>
      </c>
      <c r="Q57" t="inlineStr">
        <is>
          <t>AMA management briefing</t>
        </is>
      </c>
      <c r="R57" t="inlineStr">
        <is>
          <t xml:space="preserve">TS </t>
        </is>
      </c>
      <c r="S57" t="n">
        <v>7</v>
      </c>
      <c r="T57" t="n">
        <v>7</v>
      </c>
      <c r="U57" t="inlineStr">
        <is>
          <t>2007-02-08</t>
        </is>
      </c>
      <c r="V57" t="inlineStr">
        <is>
          <t>2007-02-08</t>
        </is>
      </c>
      <c r="W57" t="inlineStr">
        <is>
          <t>1993-08-02</t>
        </is>
      </c>
      <c r="X57" t="inlineStr">
        <is>
          <t>1993-08-02</t>
        </is>
      </c>
      <c r="Y57" t="n">
        <v>331</v>
      </c>
      <c r="Z57" t="n">
        <v>284</v>
      </c>
      <c r="AA57" t="n">
        <v>284</v>
      </c>
      <c r="AB57" t="n">
        <v>3</v>
      </c>
      <c r="AC57" t="n">
        <v>3</v>
      </c>
      <c r="AD57" t="n">
        <v>17</v>
      </c>
      <c r="AE57" t="n">
        <v>17</v>
      </c>
      <c r="AF57" t="n">
        <v>7</v>
      </c>
      <c r="AG57" t="n">
        <v>7</v>
      </c>
      <c r="AH57" t="n">
        <v>4</v>
      </c>
      <c r="AI57" t="n">
        <v>4</v>
      </c>
      <c r="AJ57" t="n">
        <v>10</v>
      </c>
      <c r="AK57" t="n">
        <v>10</v>
      </c>
      <c r="AL57" t="n">
        <v>2</v>
      </c>
      <c r="AM57" t="n">
        <v>2</v>
      </c>
      <c r="AN57" t="n">
        <v>0</v>
      </c>
      <c r="AO57" t="n">
        <v>0</v>
      </c>
      <c r="AP57" t="inlineStr">
        <is>
          <t>No</t>
        </is>
      </c>
      <c r="AQ57" t="inlineStr">
        <is>
          <t>No</t>
        </is>
      </c>
      <c r="AS57">
        <f>HYPERLINK("https://creighton-primo.hosted.exlibrisgroup.com/primo-explore/search?tab=default_tab&amp;search_scope=EVERYTHING&amp;vid=01CRU&amp;lang=en_US&amp;offset=0&amp;query=any,contains,991000731379702656","Catalog Record")</f>
        <v/>
      </c>
      <c r="AT57">
        <f>HYPERLINK("http://www.worldcat.org/oclc/12724728","WorldCat Record")</f>
        <v/>
      </c>
      <c r="AU57" t="inlineStr">
        <is>
          <t>5552727:eng</t>
        </is>
      </c>
      <c r="AV57" t="inlineStr">
        <is>
          <t>12724728</t>
        </is>
      </c>
      <c r="AW57" t="inlineStr">
        <is>
          <t>991000731379702656</t>
        </is>
      </c>
      <c r="AX57" t="inlineStr">
        <is>
          <t>991000731379702656</t>
        </is>
      </c>
      <c r="AY57" t="inlineStr">
        <is>
          <t>2266873990002656</t>
        </is>
      </c>
      <c r="AZ57" t="inlineStr">
        <is>
          <t>BOOK</t>
        </is>
      </c>
      <c r="BB57" t="inlineStr">
        <is>
          <t>9780814423202</t>
        </is>
      </c>
      <c r="BC57" t="inlineStr">
        <is>
          <t>32285001748176</t>
        </is>
      </c>
      <c r="BD57" t="inlineStr">
        <is>
          <t>893784477</t>
        </is>
      </c>
    </row>
    <row r="58">
      <c r="A58" t="inlineStr">
        <is>
          <t>No</t>
        </is>
      </c>
      <c r="B58" t="inlineStr">
        <is>
          <t>TS156 .B75 1999</t>
        </is>
      </c>
      <c r="C58" t="inlineStr">
        <is>
          <t>0                      TS 0156000B  75          1999</t>
        </is>
      </c>
      <c r="D58" t="inlineStr">
        <is>
          <t>Implementing Six Sigma : smarter solutions using statistical methods / Forrest W. Breyfogle III.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K58" t="inlineStr">
        <is>
          <t>Breyfogle, Forrest W., 1946-</t>
        </is>
      </c>
      <c r="L58" t="inlineStr">
        <is>
          <t>New York : John Wiley, c1999.</t>
        </is>
      </c>
      <c r="M58" t="inlineStr">
        <is>
          <t>1999</t>
        </is>
      </c>
      <c r="O58" t="inlineStr">
        <is>
          <t>eng</t>
        </is>
      </c>
      <c r="P58" t="inlineStr">
        <is>
          <t>nyu</t>
        </is>
      </c>
      <c r="R58" t="inlineStr">
        <is>
          <t xml:space="preserve">TS </t>
        </is>
      </c>
      <c r="S58" t="n">
        <v>3</v>
      </c>
      <c r="T58" t="n">
        <v>3</v>
      </c>
      <c r="U58" t="inlineStr">
        <is>
          <t>2007-06-14</t>
        </is>
      </c>
      <c r="V58" t="inlineStr">
        <is>
          <t>2007-06-14</t>
        </is>
      </c>
      <c r="W58" t="inlineStr">
        <is>
          <t>2007-06-14</t>
        </is>
      </c>
      <c r="X58" t="inlineStr">
        <is>
          <t>2007-06-14</t>
        </is>
      </c>
      <c r="Y58" t="n">
        <v>317</v>
      </c>
      <c r="Z58" t="n">
        <v>238</v>
      </c>
      <c r="AA58" t="n">
        <v>432</v>
      </c>
      <c r="AB58" t="n">
        <v>2</v>
      </c>
      <c r="AC58" t="n">
        <v>3</v>
      </c>
      <c r="AD58" t="n">
        <v>7</v>
      </c>
      <c r="AE58" t="n">
        <v>12</v>
      </c>
      <c r="AF58" t="n">
        <v>3</v>
      </c>
      <c r="AG58" t="n">
        <v>6</v>
      </c>
      <c r="AH58" t="n">
        <v>0</v>
      </c>
      <c r="AI58" t="n">
        <v>0</v>
      </c>
      <c r="AJ58" t="n">
        <v>5</v>
      </c>
      <c r="AK58" t="n">
        <v>7</v>
      </c>
      <c r="AL58" t="n">
        <v>1</v>
      </c>
      <c r="AM58" t="n">
        <v>2</v>
      </c>
      <c r="AN58" t="n">
        <v>0</v>
      </c>
      <c r="AO58" t="n">
        <v>0</v>
      </c>
      <c r="AP58" t="inlineStr">
        <is>
          <t>No</t>
        </is>
      </c>
      <c r="AQ58" t="inlineStr">
        <is>
          <t>Yes</t>
        </is>
      </c>
      <c r="AR58">
        <f>HYPERLINK("http://catalog.hathitrust.org/Record/004040242","HathiTrust Record")</f>
        <v/>
      </c>
      <c r="AS58">
        <f>HYPERLINK("https://creighton-primo.hosted.exlibrisgroup.com/primo-explore/search?tab=default_tab&amp;search_scope=EVERYTHING&amp;vid=01CRU&amp;lang=en_US&amp;offset=0&amp;query=any,contains,991005093569702656","Catalog Record")</f>
        <v/>
      </c>
      <c r="AT58">
        <f>HYPERLINK("http://www.worldcat.org/oclc/40193486","WorldCat Record")</f>
        <v/>
      </c>
      <c r="AU58" t="inlineStr">
        <is>
          <t>801667781:eng</t>
        </is>
      </c>
      <c r="AV58" t="inlineStr">
        <is>
          <t>40193486</t>
        </is>
      </c>
      <c r="AW58" t="inlineStr">
        <is>
          <t>991005093569702656</t>
        </is>
      </c>
      <c r="AX58" t="inlineStr">
        <is>
          <t>991005093569702656</t>
        </is>
      </c>
      <c r="AY58" t="inlineStr">
        <is>
          <t>2266849600002656</t>
        </is>
      </c>
      <c r="AZ58" t="inlineStr">
        <is>
          <t>BOOK</t>
        </is>
      </c>
      <c r="BB58" t="inlineStr">
        <is>
          <t>9780471296591</t>
        </is>
      </c>
      <c r="BC58" t="inlineStr">
        <is>
          <t>32285005317275</t>
        </is>
      </c>
      <c r="BD58" t="inlineStr">
        <is>
          <t>893795594</t>
        </is>
      </c>
    </row>
    <row r="59">
      <c r="A59" t="inlineStr">
        <is>
          <t>No</t>
        </is>
      </c>
      <c r="B59" t="inlineStr">
        <is>
          <t>TS156 .M64 1985</t>
        </is>
      </c>
      <c r="C59" t="inlineStr">
        <is>
          <t>0                      TS 0156000M  64          1985</t>
        </is>
      </c>
      <c r="D59" t="inlineStr">
        <is>
          <t>Introduction to statistical quality control / Douglas C. Montgomery.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K59" t="inlineStr">
        <is>
          <t>Montgomery, Douglas C.</t>
        </is>
      </c>
      <c r="L59" t="inlineStr">
        <is>
          <t>New York : Wiley, c1985.</t>
        </is>
      </c>
      <c r="M59" t="inlineStr">
        <is>
          <t>1985</t>
        </is>
      </c>
      <c r="O59" t="inlineStr">
        <is>
          <t>eng</t>
        </is>
      </c>
      <c r="P59" t="inlineStr">
        <is>
          <t>nyu</t>
        </is>
      </c>
      <c r="R59" t="inlineStr">
        <is>
          <t xml:space="preserve">TS </t>
        </is>
      </c>
      <c r="S59" t="n">
        <v>1</v>
      </c>
      <c r="T59" t="n">
        <v>1</v>
      </c>
      <c r="U59" t="inlineStr">
        <is>
          <t>2006-02-24</t>
        </is>
      </c>
      <c r="V59" t="inlineStr">
        <is>
          <t>2006-02-24</t>
        </is>
      </c>
      <c r="W59" t="inlineStr">
        <is>
          <t>1993-05-06</t>
        </is>
      </c>
      <c r="X59" t="inlineStr">
        <is>
          <t>1993-05-06</t>
        </is>
      </c>
      <c r="Y59" t="n">
        <v>378</v>
      </c>
      <c r="Z59" t="n">
        <v>271</v>
      </c>
      <c r="AA59" t="n">
        <v>690</v>
      </c>
      <c r="AB59" t="n">
        <v>2</v>
      </c>
      <c r="AC59" t="n">
        <v>5</v>
      </c>
      <c r="AD59" t="n">
        <v>8</v>
      </c>
      <c r="AE59" t="n">
        <v>28</v>
      </c>
      <c r="AF59" t="n">
        <v>4</v>
      </c>
      <c r="AG59" t="n">
        <v>13</v>
      </c>
      <c r="AH59" t="n">
        <v>1</v>
      </c>
      <c r="AI59" t="n">
        <v>7</v>
      </c>
      <c r="AJ59" t="n">
        <v>5</v>
      </c>
      <c r="AK59" t="n">
        <v>15</v>
      </c>
      <c r="AL59" t="n">
        <v>1</v>
      </c>
      <c r="AM59" t="n">
        <v>3</v>
      </c>
      <c r="AN59" t="n">
        <v>0</v>
      </c>
      <c r="AO59" t="n">
        <v>0</v>
      </c>
      <c r="AP59" t="inlineStr">
        <is>
          <t>No</t>
        </is>
      </c>
      <c r="AQ59" t="inlineStr">
        <is>
          <t>No</t>
        </is>
      </c>
      <c r="AS59">
        <f>HYPERLINK("https://creighton-primo.hosted.exlibrisgroup.com/primo-explore/search?tab=default_tab&amp;search_scope=EVERYTHING&amp;vid=01CRU&amp;lang=en_US&amp;offset=0&amp;query=any,contains,991000522079702656","Catalog Record")</f>
        <v/>
      </c>
      <c r="AT59">
        <f>HYPERLINK("http://www.worldcat.org/oclc/11344716","WorldCat Record")</f>
        <v/>
      </c>
      <c r="AU59" t="inlineStr">
        <is>
          <t>1020306:eng</t>
        </is>
      </c>
      <c r="AV59" t="inlineStr">
        <is>
          <t>11344716</t>
        </is>
      </c>
      <c r="AW59" t="inlineStr">
        <is>
          <t>991000522079702656</t>
        </is>
      </c>
      <c r="AX59" t="inlineStr">
        <is>
          <t>991000522079702656</t>
        </is>
      </c>
      <c r="AY59" t="inlineStr">
        <is>
          <t>2272354310002656</t>
        </is>
      </c>
      <c r="AZ59" t="inlineStr">
        <is>
          <t>BOOK</t>
        </is>
      </c>
      <c r="BB59" t="inlineStr">
        <is>
          <t>9780471808701</t>
        </is>
      </c>
      <c r="BC59" t="inlineStr">
        <is>
          <t>32285001580892</t>
        </is>
      </c>
      <c r="BD59" t="inlineStr">
        <is>
          <t>893502555</t>
        </is>
      </c>
    </row>
    <row r="60">
      <c r="A60" t="inlineStr">
        <is>
          <t>No</t>
        </is>
      </c>
      <c r="B60" t="inlineStr">
        <is>
          <t>TS156 .S33</t>
        </is>
      </c>
      <c r="C60" t="inlineStr">
        <is>
          <t>0                      TS 0156000S  33</t>
        </is>
      </c>
      <c r="D60" t="inlineStr">
        <is>
          <t>Mathematical methods of statistical quality control, by K. Sarkadi and I. Vincze.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K60" t="inlineStr">
        <is>
          <t>Sarkadi, K. (Károly), -1985.</t>
        </is>
      </c>
      <c r="L60" t="inlineStr">
        <is>
          <t>New York, Academic Press, 1974.</t>
        </is>
      </c>
      <c r="M60" t="inlineStr">
        <is>
          <t>1974</t>
        </is>
      </c>
      <c r="O60" t="inlineStr">
        <is>
          <t>eng</t>
        </is>
      </c>
      <c r="P60" t="inlineStr">
        <is>
          <t>nyu</t>
        </is>
      </c>
      <c r="Q60" t="inlineStr">
        <is>
          <t>Probability and mathematical statistics, 18</t>
        </is>
      </c>
      <c r="R60" t="inlineStr">
        <is>
          <t xml:space="preserve">TS </t>
        </is>
      </c>
      <c r="S60" t="n">
        <v>2</v>
      </c>
      <c r="T60" t="n">
        <v>2</v>
      </c>
      <c r="U60" t="inlineStr">
        <is>
          <t>1993-03-15</t>
        </is>
      </c>
      <c r="V60" t="inlineStr">
        <is>
          <t>1993-03-15</t>
        </is>
      </c>
      <c r="W60" t="inlineStr">
        <is>
          <t>1991-12-17</t>
        </is>
      </c>
      <c r="X60" t="inlineStr">
        <is>
          <t>1991-12-17</t>
        </is>
      </c>
      <c r="Y60" t="n">
        <v>308</v>
      </c>
      <c r="Z60" t="n">
        <v>170</v>
      </c>
      <c r="AA60" t="n">
        <v>173</v>
      </c>
      <c r="AB60" t="n">
        <v>1</v>
      </c>
      <c r="AC60" t="n">
        <v>1</v>
      </c>
      <c r="AD60" t="n">
        <v>8</v>
      </c>
      <c r="AE60" t="n">
        <v>8</v>
      </c>
      <c r="AF60" t="n">
        <v>3</v>
      </c>
      <c r="AG60" t="n">
        <v>3</v>
      </c>
      <c r="AH60" t="n">
        <v>3</v>
      </c>
      <c r="AI60" t="n">
        <v>3</v>
      </c>
      <c r="AJ60" t="n">
        <v>4</v>
      </c>
      <c r="AK60" t="n">
        <v>4</v>
      </c>
      <c r="AL60" t="n">
        <v>0</v>
      </c>
      <c r="AM60" t="n">
        <v>0</v>
      </c>
      <c r="AN60" t="n">
        <v>0</v>
      </c>
      <c r="AO60" t="n">
        <v>0</v>
      </c>
      <c r="AP60" t="inlineStr">
        <is>
          <t>No</t>
        </is>
      </c>
      <c r="AQ60" t="inlineStr">
        <is>
          <t>Yes</t>
        </is>
      </c>
      <c r="AR60">
        <f>HYPERLINK("http://catalog.hathitrust.org/Record/001115968","HathiTrust Record")</f>
        <v/>
      </c>
      <c r="AS60">
        <f>HYPERLINK("https://creighton-primo.hosted.exlibrisgroup.com/primo-explore/search?tab=default_tab&amp;search_scope=EVERYTHING&amp;vid=01CRU&amp;lang=en_US&amp;offset=0&amp;query=any,contains,991003366469702656","Catalog Record")</f>
        <v/>
      </c>
      <c r="AT60">
        <f>HYPERLINK("http://www.worldcat.org/oclc/902370","WorldCat Record")</f>
        <v/>
      </c>
      <c r="AU60" t="inlineStr">
        <is>
          <t>1836774:eng</t>
        </is>
      </c>
      <c r="AV60" t="inlineStr">
        <is>
          <t>902370</t>
        </is>
      </c>
      <c r="AW60" t="inlineStr">
        <is>
          <t>991003366469702656</t>
        </is>
      </c>
      <c r="AX60" t="inlineStr">
        <is>
          <t>991003366469702656</t>
        </is>
      </c>
      <c r="AY60" t="inlineStr">
        <is>
          <t>2262551960002656</t>
        </is>
      </c>
      <c r="AZ60" t="inlineStr">
        <is>
          <t>BOOK</t>
        </is>
      </c>
      <c r="BC60" t="inlineStr">
        <is>
          <t>32285000901685</t>
        </is>
      </c>
      <c r="BD60" t="inlineStr">
        <is>
          <t>893774663</t>
        </is>
      </c>
    </row>
    <row r="61">
      <c r="A61" t="inlineStr">
        <is>
          <t>No</t>
        </is>
      </c>
      <c r="B61" t="inlineStr">
        <is>
          <t>TS156 .T761 1992</t>
        </is>
      </c>
      <c r="C61" t="inlineStr">
        <is>
          <t>0                      TS 0156000T  761         1992</t>
        </is>
      </c>
      <c r="D61" t="inlineStr">
        <is>
          <t>Recognizing quality achievement : noncash award programs / by Kathryn L. Troy.</t>
        </is>
      </c>
      <c r="F61" t="inlineStr">
        <is>
          <t>No</t>
        </is>
      </c>
      <c r="G61" t="inlineStr">
        <is>
          <t>1</t>
        </is>
      </c>
      <c r="H61" t="inlineStr">
        <is>
          <t>No</t>
        </is>
      </c>
      <c r="I61" t="inlineStr">
        <is>
          <t>No</t>
        </is>
      </c>
      <c r="J61" t="inlineStr">
        <is>
          <t>0</t>
        </is>
      </c>
      <c r="K61" t="inlineStr">
        <is>
          <t>Troy, Kathryn.</t>
        </is>
      </c>
      <c r="L61" t="inlineStr">
        <is>
          <t>New York, NY : Conference Board, c1992.</t>
        </is>
      </c>
      <c r="M61" t="inlineStr">
        <is>
          <t>1992</t>
        </is>
      </c>
      <c r="O61" t="inlineStr">
        <is>
          <t>eng</t>
        </is>
      </c>
      <c r="P61" t="inlineStr">
        <is>
          <t>nyu</t>
        </is>
      </c>
      <c r="Q61" t="inlineStr">
        <is>
          <t>Conference Board research report ; no. 1008</t>
        </is>
      </c>
      <c r="R61" t="inlineStr">
        <is>
          <t xml:space="preserve">TS </t>
        </is>
      </c>
      <c r="S61" t="n">
        <v>14</v>
      </c>
      <c r="T61" t="n">
        <v>14</v>
      </c>
      <c r="U61" t="inlineStr">
        <is>
          <t>1997-04-21</t>
        </is>
      </c>
      <c r="V61" t="inlineStr">
        <is>
          <t>1997-04-21</t>
        </is>
      </c>
      <c r="W61" t="inlineStr">
        <is>
          <t>1992-08-25</t>
        </is>
      </c>
      <c r="X61" t="inlineStr">
        <is>
          <t>1992-08-25</t>
        </is>
      </c>
      <c r="Y61" t="n">
        <v>257</v>
      </c>
      <c r="Z61" t="n">
        <v>243</v>
      </c>
      <c r="AA61" t="n">
        <v>249</v>
      </c>
      <c r="AB61" t="n">
        <v>2</v>
      </c>
      <c r="AC61" t="n">
        <v>2</v>
      </c>
      <c r="AD61" t="n">
        <v>12</v>
      </c>
      <c r="AE61" t="n">
        <v>12</v>
      </c>
      <c r="AF61" t="n">
        <v>4</v>
      </c>
      <c r="AG61" t="n">
        <v>4</v>
      </c>
      <c r="AH61" t="n">
        <v>3</v>
      </c>
      <c r="AI61" t="n">
        <v>3</v>
      </c>
      <c r="AJ61" t="n">
        <v>10</v>
      </c>
      <c r="AK61" t="n">
        <v>10</v>
      </c>
      <c r="AL61" t="n">
        <v>1</v>
      </c>
      <c r="AM61" t="n">
        <v>1</v>
      </c>
      <c r="AN61" t="n">
        <v>0</v>
      </c>
      <c r="AO61" t="n">
        <v>0</v>
      </c>
      <c r="AP61" t="inlineStr">
        <is>
          <t>No</t>
        </is>
      </c>
      <c r="AQ61" t="inlineStr">
        <is>
          <t>No</t>
        </is>
      </c>
      <c r="AS61">
        <f>HYPERLINK("https://creighton-primo.hosted.exlibrisgroup.com/primo-explore/search?tab=default_tab&amp;search_scope=EVERYTHING&amp;vid=01CRU&amp;lang=en_US&amp;offset=0&amp;query=any,contains,991002058159702656","Catalog Record")</f>
        <v/>
      </c>
      <c r="AT61">
        <f>HYPERLINK("http://www.worldcat.org/oclc/26329682","WorldCat Record")</f>
        <v/>
      </c>
      <c r="AU61" t="inlineStr">
        <is>
          <t>375886327:eng</t>
        </is>
      </c>
      <c r="AV61" t="inlineStr">
        <is>
          <t>26329682</t>
        </is>
      </c>
      <c r="AW61" t="inlineStr">
        <is>
          <t>991002058159702656</t>
        </is>
      </c>
      <c r="AX61" t="inlineStr">
        <is>
          <t>991002058159702656</t>
        </is>
      </c>
      <c r="AY61" t="inlineStr">
        <is>
          <t>2261785360002656</t>
        </is>
      </c>
      <c r="AZ61" t="inlineStr">
        <is>
          <t>BOOK</t>
        </is>
      </c>
      <c r="BB61" t="inlineStr">
        <is>
          <t>9780823704569</t>
        </is>
      </c>
      <c r="BC61" t="inlineStr">
        <is>
          <t>32285001261352</t>
        </is>
      </c>
      <c r="BD61" t="inlineStr">
        <is>
          <t>893621862</t>
        </is>
      </c>
    </row>
    <row r="62">
      <c r="A62" t="inlineStr">
        <is>
          <t>No</t>
        </is>
      </c>
      <c r="B62" t="inlineStr">
        <is>
          <t>TS156.6 .S54</t>
        </is>
      </c>
      <c r="C62" t="inlineStr">
        <is>
          <t>0                      TS 0156600S  54</t>
        </is>
      </c>
      <c r="D62" t="inlineStr">
        <is>
          <t>Qualitysense : organizational approaches to improving product quality and service / Martin R. Smith.</t>
        </is>
      </c>
      <c r="F62" t="inlineStr">
        <is>
          <t>No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K62" t="inlineStr">
        <is>
          <t>Smith, Martin R., 1934-</t>
        </is>
      </c>
      <c r="L62" t="inlineStr">
        <is>
          <t>New York : AMACOM, c1979.</t>
        </is>
      </c>
      <c r="M62" t="inlineStr">
        <is>
          <t>1979</t>
        </is>
      </c>
      <c r="O62" t="inlineStr">
        <is>
          <t>eng</t>
        </is>
      </c>
      <c r="P62" t="inlineStr">
        <is>
          <t>nyu</t>
        </is>
      </c>
      <c r="R62" t="inlineStr">
        <is>
          <t xml:space="preserve">TS </t>
        </is>
      </c>
      <c r="S62" t="n">
        <v>1</v>
      </c>
      <c r="T62" t="n">
        <v>1</v>
      </c>
      <c r="U62" t="inlineStr">
        <is>
          <t>1993-11-11</t>
        </is>
      </c>
      <c r="V62" t="inlineStr">
        <is>
          <t>1993-11-11</t>
        </is>
      </c>
      <c r="W62" t="inlineStr">
        <is>
          <t>1991-12-13</t>
        </is>
      </c>
      <c r="X62" t="inlineStr">
        <is>
          <t>1991-12-13</t>
        </is>
      </c>
      <c r="Y62" t="n">
        <v>296</v>
      </c>
      <c r="Z62" t="n">
        <v>269</v>
      </c>
      <c r="AA62" t="n">
        <v>270</v>
      </c>
      <c r="AB62" t="n">
        <v>3</v>
      </c>
      <c r="AC62" t="n">
        <v>3</v>
      </c>
      <c r="AD62" t="n">
        <v>12</v>
      </c>
      <c r="AE62" t="n">
        <v>12</v>
      </c>
      <c r="AF62" t="n">
        <v>2</v>
      </c>
      <c r="AG62" t="n">
        <v>2</v>
      </c>
      <c r="AH62" t="n">
        <v>4</v>
      </c>
      <c r="AI62" t="n">
        <v>4</v>
      </c>
      <c r="AJ62" t="n">
        <v>8</v>
      </c>
      <c r="AK62" t="n">
        <v>8</v>
      </c>
      <c r="AL62" t="n">
        <v>2</v>
      </c>
      <c r="AM62" t="n">
        <v>2</v>
      </c>
      <c r="AN62" t="n">
        <v>0</v>
      </c>
      <c r="AO62" t="n">
        <v>0</v>
      </c>
      <c r="AP62" t="inlineStr">
        <is>
          <t>No</t>
        </is>
      </c>
      <c r="AQ62" t="inlineStr">
        <is>
          <t>No</t>
        </is>
      </c>
      <c r="AS62">
        <f>HYPERLINK("https://creighton-primo.hosted.exlibrisgroup.com/primo-explore/search?tab=default_tab&amp;search_scope=EVERYTHING&amp;vid=01CRU&amp;lang=en_US&amp;offset=0&amp;query=any,contains,991004804569702656","Catalog Record")</f>
        <v/>
      </c>
      <c r="AT62">
        <f>HYPERLINK("http://www.worldcat.org/oclc/5239510","WorldCat Record")</f>
        <v/>
      </c>
      <c r="AU62" t="inlineStr">
        <is>
          <t>16838747:eng</t>
        </is>
      </c>
      <c r="AV62" t="inlineStr">
        <is>
          <t>5239510</t>
        </is>
      </c>
      <c r="AW62" t="inlineStr">
        <is>
          <t>991004804569702656</t>
        </is>
      </c>
      <c r="AX62" t="inlineStr">
        <is>
          <t>991004804569702656</t>
        </is>
      </c>
      <c r="AY62" t="inlineStr">
        <is>
          <t>2264358430002656</t>
        </is>
      </c>
      <c r="AZ62" t="inlineStr">
        <is>
          <t>BOOK</t>
        </is>
      </c>
      <c r="BB62" t="inlineStr">
        <is>
          <t>9780814455340</t>
        </is>
      </c>
      <c r="BC62" t="inlineStr">
        <is>
          <t>32285000906007</t>
        </is>
      </c>
      <c r="BD62" t="inlineStr">
        <is>
          <t>893876601</t>
        </is>
      </c>
    </row>
    <row r="63">
      <c r="A63" t="inlineStr">
        <is>
          <t>No</t>
        </is>
      </c>
      <c r="B63" t="inlineStr">
        <is>
          <t>TS156.Q3 F4 1961</t>
        </is>
      </c>
      <c r="C63" t="inlineStr">
        <is>
          <t>0                      TS 0156000Q  3                  F  4           1961</t>
        </is>
      </c>
      <c r="D63" t="inlineStr">
        <is>
          <t>Total quality control: engineering and management: the technical and managerial field for improving product quality, including its reliability, and for reducing operating costs and losses.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K63" t="inlineStr">
        <is>
          <t>Feigenbaum, A. V. (Armand Vallin)</t>
        </is>
      </c>
      <c r="L63" t="inlineStr">
        <is>
          <t>New York, McGraw-Hill, 1961.</t>
        </is>
      </c>
      <c r="M63" t="inlineStr">
        <is>
          <t>1961</t>
        </is>
      </c>
      <c r="O63" t="inlineStr">
        <is>
          <t>eng</t>
        </is>
      </c>
      <c r="P63" t="inlineStr">
        <is>
          <t>nyu</t>
        </is>
      </c>
      <c r="R63" t="inlineStr">
        <is>
          <t xml:space="preserve">TS </t>
        </is>
      </c>
      <c r="S63" t="n">
        <v>4</v>
      </c>
      <c r="T63" t="n">
        <v>4</v>
      </c>
      <c r="U63" t="inlineStr">
        <is>
          <t>1994-02-08</t>
        </is>
      </c>
      <c r="V63" t="inlineStr">
        <is>
          <t>1994-02-08</t>
        </is>
      </c>
      <c r="W63" t="inlineStr">
        <is>
          <t>1992-03-23</t>
        </is>
      </c>
      <c r="X63" t="inlineStr">
        <is>
          <t>1992-03-23</t>
        </is>
      </c>
      <c r="Y63" t="n">
        <v>364</v>
      </c>
      <c r="Z63" t="n">
        <v>270</v>
      </c>
      <c r="AA63" t="n">
        <v>277</v>
      </c>
      <c r="AB63" t="n">
        <v>3</v>
      </c>
      <c r="AC63" t="n">
        <v>3</v>
      </c>
      <c r="AD63" t="n">
        <v>8</v>
      </c>
      <c r="AE63" t="n">
        <v>8</v>
      </c>
      <c r="AF63" t="n">
        <v>2</v>
      </c>
      <c r="AG63" t="n">
        <v>2</v>
      </c>
      <c r="AH63" t="n">
        <v>2</v>
      </c>
      <c r="AI63" t="n">
        <v>2</v>
      </c>
      <c r="AJ63" t="n">
        <v>4</v>
      </c>
      <c r="AK63" t="n">
        <v>4</v>
      </c>
      <c r="AL63" t="n">
        <v>2</v>
      </c>
      <c r="AM63" t="n">
        <v>2</v>
      </c>
      <c r="AN63" t="n">
        <v>0</v>
      </c>
      <c r="AO63" t="n">
        <v>0</v>
      </c>
      <c r="AP63" t="inlineStr">
        <is>
          <t>No</t>
        </is>
      </c>
      <c r="AQ63" t="inlineStr">
        <is>
          <t>Yes</t>
        </is>
      </c>
      <c r="AR63">
        <f>HYPERLINK("http://catalog.hathitrust.org/Record/001044866","HathiTrust Record")</f>
        <v/>
      </c>
      <c r="AS63">
        <f>HYPERLINK("https://creighton-primo.hosted.exlibrisgroup.com/primo-explore/search?tab=default_tab&amp;search_scope=EVERYTHING&amp;vid=01CRU&amp;lang=en_US&amp;offset=0&amp;query=any,contains,991002999079702656","Catalog Record")</f>
        <v/>
      </c>
      <c r="AT63">
        <f>HYPERLINK("http://www.worldcat.org/oclc/567344","WorldCat Record")</f>
        <v/>
      </c>
      <c r="AU63" t="inlineStr">
        <is>
          <t>10677926595:eng</t>
        </is>
      </c>
      <c r="AV63" t="inlineStr">
        <is>
          <t>567344</t>
        </is>
      </c>
      <c r="AW63" t="inlineStr">
        <is>
          <t>991002999079702656</t>
        </is>
      </c>
      <c r="AX63" t="inlineStr">
        <is>
          <t>991002999079702656</t>
        </is>
      </c>
      <c r="AY63" t="inlineStr">
        <is>
          <t>2258112170002656</t>
        </is>
      </c>
      <c r="AZ63" t="inlineStr">
        <is>
          <t>BOOK</t>
        </is>
      </c>
      <c r="BC63" t="inlineStr">
        <is>
          <t>32285001026482</t>
        </is>
      </c>
      <c r="BD63" t="inlineStr">
        <is>
          <t>893323621</t>
        </is>
      </c>
    </row>
    <row r="64">
      <c r="A64" t="inlineStr">
        <is>
          <t>No</t>
        </is>
      </c>
      <c r="B64" t="inlineStr">
        <is>
          <t>TS157 .A27 1991</t>
        </is>
      </c>
      <c r="C64" t="inlineStr">
        <is>
          <t>0                      TS 0157000A  27          1991</t>
        </is>
      </c>
      <c r="D64" t="inlineStr">
        <is>
          <t>The human side of just-in-time : how to make the techniques really work / Charlene B. Adair-Heeley.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K64" t="inlineStr">
        <is>
          <t>Adair-Heeley, Charlene B.</t>
        </is>
      </c>
      <c r="L64" t="inlineStr">
        <is>
          <t>New York : American Management Association, c1991.</t>
        </is>
      </c>
      <c r="M64" t="inlineStr">
        <is>
          <t>1991</t>
        </is>
      </c>
      <c r="O64" t="inlineStr">
        <is>
          <t>eng</t>
        </is>
      </c>
      <c r="P64" t="inlineStr">
        <is>
          <t>nyu</t>
        </is>
      </c>
      <c r="R64" t="inlineStr">
        <is>
          <t xml:space="preserve">TS </t>
        </is>
      </c>
      <c r="S64" t="n">
        <v>7</v>
      </c>
      <c r="T64" t="n">
        <v>7</v>
      </c>
      <c r="U64" t="inlineStr">
        <is>
          <t>2003-04-02</t>
        </is>
      </c>
      <c r="V64" t="inlineStr">
        <is>
          <t>2003-04-02</t>
        </is>
      </c>
      <c r="W64" t="inlineStr">
        <is>
          <t>1991-05-15</t>
        </is>
      </c>
      <c r="X64" t="inlineStr">
        <is>
          <t>1991-05-15</t>
        </is>
      </c>
      <c r="Y64" t="n">
        <v>308</v>
      </c>
      <c r="Z64" t="n">
        <v>266</v>
      </c>
      <c r="AA64" t="n">
        <v>276</v>
      </c>
      <c r="AB64" t="n">
        <v>4</v>
      </c>
      <c r="AC64" t="n">
        <v>4</v>
      </c>
      <c r="AD64" t="n">
        <v>17</v>
      </c>
      <c r="AE64" t="n">
        <v>17</v>
      </c>
      <c r="AF64" t="n">
        <v>6</v>
      </c>
      <c r="AG64" t="n">
        <v>6</v>
      </c>
      <c r="AH64" t="n">
        <v>4</v>
      </c>
      <c r="AI64" t="n">
        <v>4</v>
      </c>
      <c r="AJ64" t="n">
        <v>9</v>
      </c>
      <c r="AK64" t="n">
        <v>9</v>
      </c>
      <c r="AL64" t="n">
        <v>3</v>
      </c>
      <c r="AM64" t="n">
        <v>3</v>
      </c>
      <c r="AN64" t="n">
        <v>0</v>
      </c>
      <c r="AO64" t="n">
        <v>0</v>
      </c>
      <c r="AP64" t="inlineStr">
        <is>
          <t>No</t>
        </is>
      </c>
      <c r="AQ64" t="inlineStr">
        <is>
          <t>No</t>
        </is>
      </c>
      <c r="AS64">
        <f>HYPERLINK("https://creighton-primo.hosted.exlibrisgroup.com/primo-explore/search?tab=default_tab&amp;search_scope=EVERYTHING&amp;vid=01CRU&amp;lang=en_US&amp;offset=0&amp;query=any,contains,991001819139702656","Catalog Record")</f>
        <v/>
      </c>
      <c r="AT64">
        <f>HYPERLINK("http://www.worldcat.org/oclc/22862959","WorldCat Record")</f>
        <v/>
      </c>
      <c r="AU64" t="inlineStr">
        <is>
          <t>24171384:eng</t>
        </is>
      </c>
      <c r="AV64" t="inlineStr">
        <is>
          <t>22862959</t>
        </is>
      </c>
      <c r="AW64" t="inlineStr">
        <is>
          <t>991001819139702656</t>
        </is>
      </c>
      <c r="AX64" t="inlineStr">
        <is>
          <t>991001819139702656</t>
        </is>
      </c>
      <c r="AY64" t="inlineStr">
        <is>
          <t>2272373960002656</t>
        </is>
      </c>
      <c r="AZ64" t="inlineStr">
        <is>
          <t>BOOK</t>
        </is>
      </c>
      <c r="BB64" t="inlineStr">
        <is>
          <t>9780814450314</t>
        </is>
      </c>
      <c r="BC64" t="inlineStr">
        <is>
          <t>32285000539204</t>
        </is>
      </c>
      <c r="BD64" t="inlineStr">
        <is>
          <t>893316090</t>
        </is>
      </c>
    </row>
    <row r="65">
      <c r="A65" t="inlineStr">
        <is>
          <t>No</t>
        </is>
      </c>
      <c r="B65" t="inlineStr">
        <is>
          <t>TS170 .H66 2001</t>
        </is>
      </c>
      <c r="C65" t="inlineStr">
        <is>
          <t>0                      TS 0170000H  66          2001</t>
        </is>
      </c>
      <c r="D65" t="inlineStr">
        <is>
          <t>Customer-centered products : creating successful products through smart requirements management / Ivy F. Hooks &amp; Kristin A. Farry.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K65" t="inlineStr">
        <is>
          <t>Hooks, Ivy F.</t>
        </is>
      </c>
      <c r="L65" t="inlineStr">
        <is>
          <t>New York : AMACOM, c2001.</t>
        </is>
      </c>
      <c r="M65" t="inlineStr">
        <is>
          <t>2001</t>
        </is>
      </c>
      <c r="O65" t="inlineStr">
        <is>
          <t>eng</t>
        </is>
      </c>
      <c r="P65" t="inlineStr">
        <is>
          <t>nyu</t>
        </is>
      </c>
      <c r="R65" t="inlineStr">
        <is>
          <t xml:space="preserve">TS </t>
        </is>
      </c>
      <c r="S65" t="n">
        <v>1</v>
      </c>
      <c r="T65" t="n">
        <v>1</v>
      </c>
      <c r="U65" t="inlineStr">
        <is>
          <t>2000-10-18</t>
        </is>
      </c>
      <c r="V65" t="inlineStr">
        <is>
          <t>2000-10-18</t>
        </is>
      </c>
      <c r="W65" t="inlineStr">
        <is>
          <t>2000-10-17</t>
        </is>
      </c>
      <c r="X65" t="inlineStr">
        <is>
          <t>2000-10-17</t>
        </is>
      </c>
      <c r="Y65" t="n">
        <v>355</v>
      </c>
      <c r="Z65" t="n">
        <v>280</v>
      </c>
      <c r="AA65" t="n">
        <v>1033</v>
      </c>
      <c r="AB65" t="n">
        <v>4</v>
      </c>
      <c r="AC65" t="n">
        <v>6</v>
      </c>
      <c r="AD65" t="n">
        <v>15</v>
      </c>
      <c r="AE65" t="n">
        <v>22</v>
      </c>
      <c r="AF65" t="n">
        <v>4</v>
      </c>
      <c r="AG65" t="n">
        <v>9</v>
      </c>
      <c r="AH65" t="n">
        <v>5</v>
      </c>
      <c r="AI65" t="n">
        <v>5</v>
      </c>
      <c r="AJ65" t="n">
        <v>8</v>
      </c>
      <c r="AK65" t="n">
        <v>9</v>
      </c>
      <c r="AL65" t="n">
        <v>3</v>
      </c>
      <c r="AM65" t="n">
        <v>5</v>
      </c>
      <c r="AN65" t="n">
        <v>0</v>
      </c>
      <c r="AO65" t="n">
        <v>0</v>
      </c>
      <c r="AP65" t="inlineStr">
        <is>
          <t>No</t>
        </is>
      </c>
      <c r="AQ65" t="inlineStr">
        <is>
          <t>No</t>
        </is>
      </c>
      <c r="AS65">
        <f>HYPERLINK("https://creighton-primo.hosted.exlibrisgroup.com/primo-explore/search?tab=default_tab&amp;search_scope=EVERYTHING&amp;vid=01CRU&amp;lang=en_US&amp;offset=0&amp;query=any,contains,991003318329702656","Catalog Record")</f>
        <v/>
      </c>
      <c r="AT65">
        <f>HYPERLINK("http://www.worldcat.org/oclc/43590230","WorldCat Record")</f>
        <v/>
      </c>
      <c r="AU65" t="inlineStr">
        <is>
          <t>800048254:eng</t>
        </is>
      </c>
      <c r="AV65" t="inlineStr">
        <is>
          <t>43590230</t>
        </is>
      </c>
      <c r="AW65" t="inlineStr">
        <is>
          <t>991003318329702656</t>
        </is>
      </c>
      <c r="AX65" t="inlineStr">
        <is>
          <t>991003318329702656</t>
        </is>
      </c>
      <c r="AY65" t="inlineStr">
        <is>
          <t>2271256140002656</t>
        </is>
      </c>
      <c r="AZ65" t="inlineStr">
        <is>
          <t>BOOK</t>
        </is>
      </c>
      <c r="BB65" t="inlineStr">
        <is>
          <t>9780814405680</t>
        </is>
      </c>
      <c r="BC65" t="inlineStr">
        <is>
          <t>32285003768248</t>
        </is>
      </c>
      <c r="BD65" t="inlineStr">
        <is>
          <t>893705112</t>
        </is>
      </c>
    </row>
    <row r="66">
      <c r="A66" t="inlineStr">
        <is>
          <t>No</t>
        </is>
      </c>
      <c r="B66" t="inlineStr">
        <is>
          <t>TS175 .C66 1986</t>
        </is>
      </c>
      <c r="C66" t="inlineStr">
        <is>
          <t>0                      TS 0175000C  66          1986</t>
        </is>
      </c>
      <c r="D66" t="inlineStr">
        <is>
          <t>Consuming fears : the politics of product risks / Harvey M. Sapolsky, editor.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L66" t="inlineStr">
        <is>
          <t>New York : Basic Books, c1986.</t>
        </is>
      </c>
      <c r="M66" t="inlineStr">
        <is>
          <t>1986</t>
        </is>
      </c>
      <c r="O66" t="inlineStr">
        <is>
          <t>eng</t>
        </is>
      </c>
      <c r="P66" t="inlineStr">
        <is>
          <t>nyu</t>
        </is>
      </c>
      <c r="R66" t="inlineStr">
        <is>
          <t xml:space="preserve">TS </t>
        </is>
      </c>
      <c r="S66" t="n">
        <v>12</v>
      </c>
      <c r="T66" t="n">
        <v>12</v>
      </c>
      <c r="U66" t="inlineStr">
        <is>
          <t>1998-03-24</t>
        </is>
      </c>
      <c r="V66" t="inlineStr">
        <is>
          <t>1998-03-24</t>
        </is>
      </c>
      <c r="W66" t="inlineStr">
        <is>
          <t>1992-11-19</t>
        </is>
      </c>
      <c r="X66" t="inlineStr">
        <is>
          <t>1992-11-19</t>
        </is>
      </c>
      <c r="Y66" t="n">
        <v>605</v>
      </c>
      <c r="Z66" t="n">
        <v>550</v>
      </c>
      <c r="AA66" t="n">
        <v>555</v>
      </c>
      <c r="AB66" t="n">
        <v>1</v>
      </c>
      <c r="AC66" t="n">
        <v>1</v>
      </c>
      <c r="AD66" t="n">
        <v>18</v>
      </c>
      <c r="AE66" t="n">
        <v>18</v>
      </c>
      <c r="AF66" t="n">
        <v>7</v>
      </c>
      <c r="AG66" t="n">
        <v>7</v>
      </c>
      <c r="AH66" t="n">
        <v>4</v>
      </c>
      <c r="AI66" t="n">
        <v>4</v>
      </c>
      <c r="AJ66" t="n">
        <v>13</v>
      </c>
      <c r="AK66" t="n">
        <v>13</v>
      </c>
      <c r="AL66" t="n">
        <v>0</v>
      </c>
      <c r="AM66" t="n">
        <v>0</v>
      </c>
      <c r="AN66" t="n">
        <v>0</v>
      </c>
      <c r="AO66" t="n">
        <v>0</v>
      </c>
      <c r="AP66" t="inlineStr">
        <is>
          <t>No</t>
        </is>
      </c>
      <c r="AQ66" t="inlineStr">
        <is>
          <t>Yes</t>
        </is>
      </c>
      <c r="AR66">
        <f>HYPERLINK("http://catalog.hathitrust.org/Record/000634428","HathiTrust Record")</f>
        <v/>
      </c>
      <c r="AS66">
        <f>HYPERLINK("https://creighton-primo.hosted.exlibrisgroup.com/primo-explore/search?tab=default_tab&amp;search_scope=EVERYTHING&amp;vid=01CRU&amp;lang=en_US&amp;offset=0&amp;query=any,contains,991000870129702656","Catalog Record")</f>
        <v/>
      </c>
      <c r="AT66">
        <f>HYPERLINK("http://www.worldcat.org/oclc/13792083","WorldCat Record")</f>
        <v/>
      </c>
      <c r="AU66" t="inlineStr">
        <is>
          <t>910880436:eng</t>
        </is>
      </c>
      <c r="AV66" t="inlineStr">
        <is>
          <t>13792083</t>
        </is>
      </c>
      <c r="AW66" t="inlineStr">
        <is>
          <t>991000870129702656</t>
        </is>
      </c>
      <c r="AX66" t="inlineStr">
        <is>
          <t>991000870129702656</t>
        </is>
      </c>
      <c r="AY66" t="inlineStr">
        <is>
          <t>2272759920002656</t>
        </is>
      </c>
      <c r="AZ66" t="inlineStr">
        <is>
          <t>BOOK</t>
        </is>
      </c>
      <c r="BB66" t="inlineStr">
        <is>
          <t>9780465014118</t>
        </is>
      </c>
      <c r="BC66" t="inlineStr">
        <is>
          <t>32285001406494</t>
        </is>
      </c>
      <c r="BD66" t="inlineStr">
        <is>
          <t>893620873</t>
        </is>
      </c>
    </row>
    <row r="67">
      <c r="A67" t="inlineStr">
        <is>
          <t>No</t>
        </is>
      </c>
      <c r="B67" t="inlineStr">
        <is>
          <t>TS1966.E3 I357 1995</t>
        </is>
      </c>
      <c r="C67" t="inlineStr">
        <is>
          <t>0                      TS 1966000E  3                  I  357         1995</t>
        </is>
      </c>
      <c r="D67" t="inlineStr">
        <is>
          <t>Choice cuts : meat production in ancient Egypt / by Salima Ikram.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K67" t="inlineStr">
        <is>
          <t>Ikram, Salima.</t>
        </is>
      </c>
      <c r="L67" t="inlineStr">
        <is>
          <t>Leuven : Peeters : Departement Oosterse Studies, 1995.</t>
        </is>
      </c>
      <c r="M67" t="inlineStr">
        <is>
          <t>1995</t>
        </is>
      </c>
      <c r="O67" t="inlineStr">
        <is>
          <t>eng</t>
        </is>
      </c>
      <c r="P67" t="inlineStr">
        <is>
          <t xml:space="preserve">be </t>
        </is>
      </c>
      <c r="Q67" t="inlineStr">
        <is>
          <t>Orientalia Lovaniensia analecta ; 69</t>
        </is>
      </c>
      <c r="R67" t="inlineStr">
        <is>
          <t xml:space="preserve">TS </t>
        </is>
      </c>
      <c r="S67" t="n">
        <v>1</v>
      </c>
      <c r="T67" t="n">
        <v>1</v>
      </c>
      <c r="U67" t="inlineStr">
        <is>
          <t>2010-10-05</t>
        </is>
      </c>
      <c r="V67" t="inlineStr">
        <is>
          <t>2010-10-05</t>
        </is>
      </c>
      <c r="W67" t="inlineStr">
        <is>
          <t>2001-02-07</t>
        </is>
      </c>
      <c r="X67" t="inlineStr">
        <is>
          <t>2001-02-07</t>
        </is>
      </c>
      <c r="Y67" t="n">
        <v>78</v>
      </c>
      <c r="Z67" t="n">
        <v>41</v>
      </c>
      <c r="AA67" t="n">
        <v>43</v>
      </c>
      <c r="AB67" t="n">
        <v>1</v>
      </c>
      <c r="AC67" t="n">
        <v>1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  <c r="AL67" t="n">
        <v>0</v>
      </c>
      <c r="AM67" t="n">
        <v>0</v>
      </c>
      <c r="AN67" t="n">
        <v>0</v>
      </c>
      <c r="AO67" t="n">
        <v>0</v>
      </c>
      <c r="AP67" t="inlineStr">
        <is>
          <t>No</t>
        </is>
      </c>
      <c r="AQ67" t="inlineStr">
        <is>
          <t>Yes</t>
        </is>
      </c>
      <c r="AR67">
        <f>HYPERLINK("http://catalog.hathitrust.org/Record/003076462","HathiTrust Record")</f>
        <v/>
      </c>
      <c r="AS67">
        <f>HYPERLINK("https://creighton-primo.hosted.exlibrisgroup.com/primo-explore/search?tab=default_tab&amp;search_scope=EVERYTHING&amp;vid=01CRU&amp;lang=en_US&amp;offset=0&amp;query=any,contains,991003256499702656","Catalog Record")</f>
        <v/>
      </c>
      <c r="AT67">
        <f>HYPERLINK("http://www.worldcat.org/oclc/37211517","WorldCat Record")</f>
        <v/>
      </c>
      <c r="AU67" t="inlineStr">
        <is>
          <t>11711354:eng</t>
        </is>
      </c>
      <c r="AV67" t="inlineStr">
        <is>
          <t>37211517</t>
        </is>
      </c>
      <c r="AW67" t="inlineStr">
        <is>
          <t>991003256499702656</t>
        </is>
      </c>
      <c r="AX67" t="inlineStr">
        <is>
          <t>991003256499702656</t>
        </is>
      </c>
      <c r="AY67" t="inlineStr">
        <is>
          <t>2258924530002656</t>
        </is>
      </c>
      <c r="AZ67" t="inlineStr">
        <is>
          <t>BOOK</t>
        </is>
      </c>
      <c r="BB67" t="inlineStr">
        <is>
          <t>9782877232715</t>
        </is>
      </c>
      <c r="BC67" t="inlineStr">
        <is>
          <t>32285004294293</t>
        </is>
      </c>
      <c r="BD67" t="inlineStr">
        <is>
          <t>893598411</t>
        </is>
      </c>
    </row>
    <row r="68">
      <c r="A68" t="inlineStr">
        <is>
          <t>No</t>
        </is>
      </c>
      <c r="B68" t="inlineStr">
        <is>
          <t>TS2280 .B83 2007</t>
        </is>
      </c>
      <c r="C68" t="inlineStr">
        <is>
          <t>0                      TS 2280000B  83          2007</t>
        </is>
      </c>
      <c r="D68" t="inlineStr">
        <is>
          <t>Vietnam Zippos / Sherry Buchanan ; from the collection of Bradford Edwards.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K68" t="inlineStr">
        <is>
          <t>Buchanan, Sherry.</t>
        </is>
      </c>
      <c r="L68" t="inlineStr">
        <is>
          <t>Chicago : University of Chicago Press, 2007.</t>
        </is>
      </c>
      <c r="M68" t="inlineStr">
        <is>
          <t>2007</t>
        </is>
      </c>
      <c r="O68" t="inlineStr">
        <is>
          <t>eng</t>
        </is>
      </c>
      <c r="P68" t="inlineStr">
        <is>
          <t>ilu</t>
        </is>
      </c>
      <c r="R68" t="inlineStr">
        <is>
          <t xml:space="preserve">TS </t>
        </is>
      </c>
      <c r="S68" t="n">
        <v>1</v>
      </c>
      <c r="T68" t="n">
        <v>1</v>
      </c>
      <c r="U68" t="inlineStr">
        <is>
          <t>2008-02-21</t>
        </is>
      </c>
      <c r="V68" t="inlineStr">
        <is>
          <t>2008-02-21</t>
        </is>
      </c>
      <c r="W68" t="inlineStr">
        <is>
          <t>2008-02-21</t>
        </is>
      </c>
      <c r="X68" t="inlineStr">
        <is>
          <t>2008-02-21</t>
        </is>
      </c>
      <c r="Y68" t="n">
        <v>265</v>
      </c>
      <c r="Z68" t="n">
        <v>242</v>
      </c>
      <c r="AA68" t="n">
        <v>260</v>
      </c>
      <c r="AB68" t="n">
        <v>1</v>
      </c>
      <c r="AC68" t="n">
        <v>2</v>
      </c>
      <c r="AD68" t="n">
        <v>6</v>
      </c>
      <c r="AE68" t="n">
        <v>8</v>
      </c>
      <c r="AF68" t="n">
        <v>3</v>
      </c>
      <c r="AG68" t="n">
        <v>3</v>
      </c>
      <c r="AH68" t="n">
        <v>0</v>
      </c>
      <c r="AI68" t="n">
        <v>1</v>
      </c>
      <c r="AJ68" t="n">
        <v>4</v>
      </c>
      <c r="AK68" t="n">
        <v>5</v>
      </c>
      <c r="AL68" t="n">
        <v>0</v>
      </c>
      <c r="AM68" t="n">
        <v>1</v>
      </c>
      <c r="AN68" t="n">
        <v>0</v>
      </c>
      <c r="AO68" t="n">
        <v>0</v>
      </c>
      <c r="AP68" t="inlineStr">
        <is>
          <t>No</t>
        </is>
      </c>
      <c r="AQ68" t="inlineStr">
        <is>
          <t>No</t>
        </is>
      </c>
      <c r="AS68">
        <f>HYPERLINK("https://creighton-primo.hosted.exlibrisgroup.com/primo-explore/search?tab=default_tab&amp;search_scope=EVERYTHING&amp;vid=01CRU&amp;lang=en_US&amp;offset=0&amp;query=any,contains,991005170739702656","Catalog Record")</f>
        <v/>
      </c>
      <c r="AT68">
        <f>HYPERLINK("http://www.worldcat.org/oclc/145378613","WorldCat Record")</f>
        <v/>
      </c>
      <c r="AU68" t="inlineStr">
        <is>
          <t>102984522:eng</t>
        </is>
      </c>
      <c r="AV68" t="inlineStr">
        <is>
          <t>145378613</t>
        </is>
      </c>
      <c r="AW68" t="inlineStr">
        <is>
          <t>991005170739702656</t>
        </is>
      </c>
      <c r="AX68" t="inlineStr">
        <is>
          <t>991005170739702656</t>
        </is>
      </c>
      <c r="AY68" t="inlineStr">
        <is>
          <t>2266844530002656</t>
        </is>
      </c>
      <c r="AZ68" t="inlineStr">
        <is>
          <t>BOOK</t>
        </is>
      </c>
      <c r="BB68" t="inlineStr">
        <is>
          <t>9780226078281</t>
        </is>
      </c>
      <c r="BC68" t="inlineStr">
        <is>
          <t>32285005393839</t>
        </is>
      </c>
      <c r="BD68" t="inlineStr">
        <is>
          <t>893801856</t>
        </is>
      </c>
    </row>
    <row r="69">
      <c r="A69" t="inlineStr">
        <is>
          <t>No</t>
        </is>
      </c>
      <c r="B69" t="inlineStr">
        <is>
          <t>TS271 .C38</t>
        </is>
      </c>
      <c r="C69" t="inlineStr">
        <is>
          <t>0                      TS 0271000C  38</t>
        </is>
      </c>
      <c r="D69" t="inlineStr">
        <is>
          <t>Barbs, prongs, points, prickers, &amp; stickers; a complete and illustrated catalogue of antique barbed wire [by] Robert T. Clifton.</t>
        </is>
      </c>
      <c r="F69" t="inlineStr">
        <is>
          <t>No</t>
        </is>
      </c>
      <c r="G69" t="inlineStr">
        <is>
          <t>1</t>
        </is>
      </c>
      <c r="H69" t="inlineStr">
        <is>
          <t>No</t>
        </is>
      </c>
      <c r="I69" t="inlineStr">
        <is>
          <t>No</t>
        </is>
      </c>
      <c r="J69" t="inlineStr">
        <is>
          <t>0</t>
        </is>
      </c>
      <c r="K69" t="inlineStr">
        <is>
          <t>Clifton, Robert T.</t>
        </is>
      </c>
      <c r="L69" t="inlineStr">
        <is>
          <t>Norman] University of Oklahoma Press [1970]</t>
        </is>
      </c>
      <c r="M69" t="inlineStr">
        <is>
          <t>1970</t>
        </is>
      </c>
      <c r="N69" t="inlineStr">
        <is>
          <t>[1st ed.</t>
        </is>
      </c>
      <c r="O69" t="inlineStr">
        <is>
          <t>eng</t>
        </is>
      </c>
      <c r="P69" t="inlineStr">
        <is>
          <t>oku</t>
        </is>
      </c>
      <c r="R69" t="inlineStr">
        <is>
          <t xml:space="preserve">TS </t>
        </is>
      </c>
      <c r="S69" t="n">
        <v>2</v>
      </c>
      <c r="T69" t="n">
        <v>2</v>
      </c>
      <c r="U69" t="inlineStr">
        <is>
          <t>2000-03-15</t>
        </is>
      </c>
      <c r="V69" t="inlineStr">
        <is>
          <t>2000-03-15</t>
        </is>
      </c>
      <c r="W69" t="inlineStr">
        <is>
          <t>1997-08-29</t>
        </is>
      </c>
      <c r="X69" t="inlineStr">
        <is>
          <t>1997-08-29</t>
        </is>
      </c>
      <c r="Y69" t="n">
        <v>651</v>
      </c>
      <c r="Z69" t="n">
        <v>622</v>
      </c>
      <c r="AA69" t="n">
        <v>760</v>
      </c>
      <c r="AB69" t="n">
        <v>8</v>
      </c>
      <c r="AC69" t="n">
        <v>8</v>
      </c>
      <c r="AD69" t="n">
        <v>7</v>
      </c>
      <c r="AE69" t="n">
        <v>12</v>
      </c>
      <c r="AF69" t="n">
        <v>0</v>
      </c>
      <c r="AG69" t="n">
        <v>3</v>
      </c>
      <c r="AH69" t="n">
        <v>1</v>
      </c>
      <c r="AI69" t="n">
        <v>3</v>
      </c>
      <c r="AJ69" t="n">
        <v>2</v>
      </c>
      <c r="AK69" t="n">
        <v>5</v>
      </c>
      <c r="AL69" t="n">
        <v>4</v>
      </c>
      <c r="AM69" t="n">
        <v>4</v>
      </c>
      <c r="AN69" t="n">
        <v>0</v>
      </c>
      <c r="AO69" t="n">
        <v>0</v>
      </c>
      <c r="AP69" t="inlineStr">
        <is>
          <t>No</t>
        </is>
      </c>
      <c r="AQ69" t="inlineStr">
        <is>
          <t>No</t>
        </is>
      </c>
      <c r="AS69">
        <f>HYPERLINK("https://creighton-primo.hosted.exlibrisgroup.com/primo-explore/search?tab=default_tab&amp;search_scope=EVERYTHING&amp;vid=01CRU&amp;lang=en_US&amp;offset=0&amp;query=any,contains,991000327919702656","Catalog Record")</f>
        <v/>
      </c>
      <c r="AT69">
        <f>HYPERLINK("http://www.worldcat.org/oclc/69952","WorldCat Record")</f>
        <v/>
      </c>
      <c r="AU69" t="inlineStr">
        <is>
          <t>579083:eng</t>
        </is>
      </c>
      <c r="AV69" t="inlineStr">
        <is>
          <t>69952</t>
        </is>
      </c>
      <c r="AW69" t="inlineStr">
        <is>
          <t>991000327919702656</t>
        </is>
      </c>
      <c r="AX69" t="inlineStr">
        <is>
          <t>991000327919702656</t>
        </is>
      </c>
      <c r="AY69" t="inlineStr">
        <is>
          <t>2261344510002656</t>
        </is>
      </c>
      <c r="AZ69" t="inlineStr">
        <is>
          <t>BOOK</t>
        </is>
      </c>
      <c r="BB69" t="inlineStr">
        <is>
          <t>9780806108766</t>
        </is>
      </c>
      <c r="BC69" t="inlineStr">
        <is>
          <t>32285003119723</t>
        </is>
      </c>
      <c r="BD69" t="inlineStr">
        <is>
          <t>893589349</t>
        </is>
      </c>
    </row>
    <row r="70">
      <c r="A70" t="inlineStr">
        <is>
          <t>No</t>
        </is>
      </c>
      <c r="B70" t="inlineStr">
        <is>
          <t>TS752 .H218 1994</t>
        </is>
      </c>
      <c r="C70" t="inlineStr">
        <is>
          <t>0                      TS 0752000H  218         1994</t>
        </is>
      </c>
      <c r="D70" t="inlineStr">
        <is>
          <t>Gemstones / Cally Hall.</t>
        </is>
      </c>
      <c r="F70" t="inlineStr">
        <is>
          <t>No</t>
        </is>
      </c>
      <c r="G70" t="inlineStr">
        <is>
          <t>1</t>
        </is>
      </c>
      <c r="H70" t="inlineStr">
        <is>
          <t>No</t>
        </is>
      </c>
      <c r="I70" t="inlineStr">
        <is>
          <t>No</t>
        </is>
      </c>
      <c r="J70" t="inlineStr">
        <is>
          <t>0</t>
        </is>
      </c>
      <c r="K70" t="inlineStr">
        <is>
          <t>Hall, Cally.</t>
        </is>
      </c>
      <c r="L70" t="inlineStr">
        <is>
          <t>London ; New York : Dorling Kindersley, 1994.</t>
        </is>
      </c>
      <c r="M70" t="inlineStr">
        <is>
          <t>1994</t>
        </is>
      </c>
      <c r="N70" t="inlineStr">
        <is>
          <t>1st American ed.</t>
        </is>
      </c>
      <c r="O70" t="inlineStr">
        <is>
          <t>eng</t>
        </is>
      </c>
      <c r="P70" t="inlineStr">
        <is>
          <t>enk</t>
        </is>
      </c>
      <c r="Q70" t="inlineStr">
        <is>
          <t>Eyewitness handbooks</t>
        </is>
      </c>
      <c r="R70" t="inlineStr">
        <is>
          <t xml:space="preserve">TS </t>
        </is>
      </c>
      <c r="S70" t="n">
        <v>17</v>
      </c>
      <c r="T70" t="n">
        <v>17</v>
      </c>
      <c r="U70" t="inlineStr">
        <is>
          <t>2001-01-30</t>
        </is>
      </c>
      <c r="V70" t="inlineStr">
        <is>
          <t>2001-01-30</t>
        </is>
      </c>
      <c r="W70" t="inlineStr">
        <is>
          <t>1995-04-10</t>
        </is>
      </c>
      <c r="X70" t="inlineStr">
        <is>
          <t>1995-04-10</t>
        </is>
      </c>
      <c r="Y70" t="n">
        <v>1255</v>
      </c>
      <c r="Z70" t="n">
        <v>1076</v>
      </c>
      <c r="AA70" t="n">
        <v>1585</v>
      </c>
      <c r="AB70" t="n">
        <v>17</v>
      </c>
      <c r="AC70" t="n">
        <v>23</v>
      </c>
      <c r="AD70" t="n">
        <v>18</v>
      </c>
      <c r="AE70" t="n">
        <v>19</v>
      </c>
      <c r="AF70" t="n">
        <v>7</v>
      </c>
      <c r="AG70" t="n">
        <v>7</v>
      </c>
      <c r="AH70" t="n">
        <v>4</v>
      </c>
      <c r="AI70" t="n">
        <v>4</v>
      </c>
      <c r="AJ70" t="n">
        <v>6</v>
      </c>
      <c r="AK70" t="n">
        <v>6</v>
      </c>
      <c r="AL70" t="n">
        <v>4</v>
      </c>
      <c r="AM70" t="n">
        <v>5</v>
      </c>
      <c r="AN70" t="n">
        <v>0</v>
      </c>
      <c r="AO70" t="n">
        <v>0</v>
      </c>
      <c r="AP70" t="inlineStr">
        <is>
          <t>No</t>
        </is>
      </c>
      <c r="AQ70" t="inlineStr">
        <is>
          <t>No</t>
        </is>
      </c>
      <c r="AS70">
        <f>HYPERLINK("https://creighton-primo.hosted.exlibrisgroup.com/primo-explore/search?tab=default_tab&amp;search_scope=EVERYTHING&amp;vid=01CRU&amp;lang=en_US&amp;offset=0&amp;query=any,contains,991002211559702656","Catalog Record")</f>
        <v/>
      </c>
      <c r="AT70">
        <f>HYPERLINK("http://www.worldcat.org/oclc/28424743","WorldCat Record")</f>
        <v/>
      </c>
      <c r="AU70" t="inlineStr">
        <is>
          <t>4928407731:eng</t>
        </is>
      </c>
      <c r="AV70" t="inlineStr">
        <is>
          <t>28424743</t>
        </is>
      </c>
      <c r="AW70" t="inlineStr">
        <is>
          <t>991002211559702656</t>
        </is>
      </c>
      <c r="AX70" t="inlineStr">
        <is>
          <t>991002211559702656</t>
        </is>
      </c>
      <c r="AY70" t="inlineStr">
        <is>
          <t>2268090080002656</t>
        </is>
      </c>
      <c r="AZ70" t="inlineStr">
        <is>
          <t>BOOK</t>
        </is>
      </c>
      <c r="BB70" t="inlineStr">
        <is>
          <t>9781564584984</t>
        </is>
      </c>
      <c r="BC70" t="inlineStr">
        <is>
          <t>32285002017647</t>
        </is>
      </c>
      <c r="BD70" t="inlineStr">
        <is>
          <t>893232685</t>
        </is>
      </c>
    </row>
    <row r="71">
      <c r="A71" t="inlineStr">
        <is>
          <t>No</t>
        </is>
      </c>
      <c r="B71" t="inlineStr">
        <is>
          <t>TT145 .K37 1973</t>
        </is>
      </c>
      <c r="C71" t="inlineStr">
        <is>
          <t>0                      TT 0145000K  37          1973</t>
        </is>
      </c>
      <c r="D71" t="inlineStr">
        <is>
          <t>Basic craft techniques / by Tommy Karlén.</t>
        </is>
      </c>
      <c r="F71" t="inlineStr">
        <is>
          <t>No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K71" t="inlineStr">
        <is>
          <t>Karlén, Tommy.</t>
        </is>
      </c>
      <c r="L71" t="inlineStr">
        <is>
          <t>New York : Drake Publishers, [1973]</t>
        </is>
      </c>
      <c r="M71" t="inlineStr">
        <is>
          <t>1973</t>
        </is>
      </c>
      <c r="O71" t="inlineStr">
        <is>
          <t>eng</t>
        </is>
      </c>
      <c r="P71" t="inlineStr">
        <is>
          <t>nyu</t>
        </is>
      </c>
      <c r="R71" t="inlineStr">
        <is>
          <t xml:space="preserve">TT </t>
        </is>
      </c>
      <c r="S71" t="n">
        <v>5</v>
      </c>
      <c r="T71" t="n">
        <v>5</v>
      </c>
      <c r="U71" t="inlineStr">
        <is>
          <t>1998-04-26</t>
        </is>
      </c>
      <c r="V71" t="inlineStr">
        <is>
          <t>1998-04-26</t>
        </is>
      </c>
      <c r="W71" t="inlineStr">
        <is>
          <t>1993-08-03</t>
        </is>
      </c>
      <c r="X71" t="inlineStr">
        <is>
          <t>1993-08-03</t>
        </is>
      </c>
      <c r="Y71" t="n">
        <v>195</v>
      </c>
      <c r="Z71" t="n">
        <v>169</v>
      </c>
      <c r="AA71" t="n">
        <v>238</v>
      </c>
      <c r="AB71" t="n">
        <v>3</v>
      </c>
      <c r="AC71" t="n">
        <v>4</v>
      </c>
      <c r="AD71" t="n">
        <v>0</v>
      </c>
      <c r="AE71" t="n">
        <v>2</v>
      </c>
      <c r="AF71" t="n">
        <v>0</v>
      </c>
      <c r="AG71" t="n">
        <v>0</v>
      </c>
      <c r="AH71" t="n">
        <v>0</v>
      </c>
      <c r="AI71" t="n">
        <v>0</v>
      </c>
      <c r="AJ71" t="n">
        <v>0</v>
      </c>
      <c r="AK71" t="n">
        <v>1</v>
      </c>
      <c r="AL71" t="n">
        <v>0</v>
      </c>
      <c r="AM71" t="n">
        <v>1</v>
      </c>
      <c r="AN71" t="n">
        <v>0</v>
      </c>
      <c r="AO71" t="n">
        <v>0</v>
      </c>
      <c r="AP71" t="inlineStr">
        <is>
          <t>No</t>
        </is>
      </c>
      <c r="AQ71" t="inlineStr">
        <is>
          <t>No</t>
        </is>
      </c>
      <c r="AS71">
        <f>HYPERLINK("https://creighton-primo.hosted.exlibrisgroup.com/primo-explore/search?tab=default_tab&amp;search_scope=EVERYTHING&amp;vid=01CRU&amp;lang=en_US&amp;offset=0&amp;query=any,contains,991003128189702656","Catalog Record")</f>
        <v/>
      </c>
      <c r="AT71">
        <f>HYPERLINK("http://www.worldcat.org/oclc/671917","WorldCat Record")</f>
        <v/>
      </c>
      <c r="AU71" t="inlineStr">
        <is>
          <t>1706609:eng</t>
        </is>
      </c>
      <c r="AV71" t="inlineStr">
        <is>
          <t>671917</t>
        </is>
      </c>
      <c r="AW71" t="inlineStr">
        <is>
          <t>991003128189702656</t>
        </is>
      </c>
      <c r="AX71" t="inlineStr">
        <is>
          <t>991003128189702656</t>
        </is>
      </c>
      <c r="AY71" t="inlineStr">
        <is>
          <t>2268241060002656</t>
        </is>
      </c>
      <c r="AZ71" t="inlineStr">
        <is>
          <t>BOOK</t>
        </is>
      </c>
      <c r="BB71" t="inlineStr">
        <is>
          <t>9780877494195</t>
        </is>
      </c>
      <c r="BC71" t="inlineStr">
        <is>
          <t>32285001748770</t>
        </is>
      </c>
      <c r="BD71" t="inlineStr">
        <is>
          <t>893440957</t>
        </is>
      </c>
    </row>
    <row r="72">
      <c r="A72" t="inlineStr">
        <is>
          <t>No</t>
        </is>
      </c>
      <c r="B72" t="inlineStr">
        <is>
          <t>TT150 .L56 1984</t>
        </is>
      </c>
      <c r="C72" t="inlineStr">
        <is>
          <t>0                      TT 0150000L  56          1984</t>
        </is>
      </c>
      <c r="D72" t="inlineStr">
        <is>
          <t>Arts &amp; crafts for the classroom / Earl W. Linderman, Marlene M. Linderman.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K72" t="inlineStr">
        <is>
          <t>Linderman, Earl W.</t>
        </is>
      </c>
      <c r="L72" t="inlineStr">
        <is>
          <t>New York : Macmillan ; London : Collier Macmillan, 1984.</t>
        </is>
      </c>
      <c r="M72" t="inlineStr">
        <is>
          <t>1984</t>
        </is>
      </c>
      <c r="N72" t="inlineStr">
        <is>
          <t>2nd ed.</t>
        </is>
      </c>
      <c r="O72" t="inlineStr">
        <is>
          <t>eng</t>
        </is>
      </c>
      <c r="P72" t="inlineStr">
        <is>
          <t>nyu</t>
        </is>
      </c>
      <c r="R72" t="inlineStr">
        <is>
          <t xml:space="preserve">TT </t>
        </is>
      </c>
      <c r="S72" t="n">
        <v>22</v>
      </c>
      <c r="T72" t="n">
        <v>22</v>
      </c>
      <c r="U72" t="inlineStr">
        <is>
          <t>1999-09-24</t>
        </is>
      </c>
      <c r="V72" t="inlineStr">
        <is>
          <t>1999-09-24</t>
        </is>
      </c>
      <c r="W72" t="inlineStr">
        <is>
          <t>1991-12-11</t>
        </is>
      </c>
      <c r="X72" t="inlineStr">
        <is>
          <t>1991-12-11</t>
        </is>
      </c>
      <c r="Y72" t="n">
        <v>236</v>
      </c>
      <c r="Z72" t="n">
        <v>187</v>
      </c>
      <c r="AA72" t="n">
        <v>194</v>
      </c>
      <c r="AB72" t="n">
        <v>3</v>
      </c>
      <c r="AC72" t="n">
        <v>3</v>
      </c>
      <c r="AD72" t="n">
        <v>10</v>
      </c>
      <c r="AE72" t="n">
        <v>10</v>
      </c>
      <c r="AF72" t="n">
        <v>5</v>
      </c>
      <c r="AG72" t="n">
        <v>5</v>
      </c>
      <c r="AH72" t="n">
        <v>0</v>
      </c>
      <c r="AI72" t="n">
        <v>0</v>
      </c>
      <c r="AJ72" t="n">
        <v>4</v>
      </c>
      <c r="AK72" t="n">
        <v>4</v>
      </c>
      <c r="AL72" t="n">
        <v>2</v>
      </c>
      <c r="AM72" t="n">
        <v>2</v>
      </c>
      <c r="AN72" t="n">
        <v>0</v>
      </c>
      <c r="AO72" t="n">
        <v>0</v>
      </c>
      <c r="AP72" t="inlineStr">
        <is>
          <t>No</t>
        </is>
      </c>
      <c r="AQ72" t="inlineStr">
        <is>
          <t>Yes</t>
        </is>
      </c>
      <c r="AR72">
        <f>HYPERLINK("http://catalog.hathitrust.org/Record/102077094","HathiTrust Record")</f>
        <v/>
      </c>
      <c r="AS72">
        <f>HYPERLINK("https://creighton-primo.hosted.exlibrisgroup.com/primo-explore/search?tab=default_tab&amp;search_scope=EVERYTHING&amp;vid=01CRU&amp;lang=en_US&amp;offset=0&amp;query=any,contains,991000157919702656","Catalog Record")</f>
        <v/>
      </c>
      <c r="AT72">
        <f>HYPERLINK("http://www.worldcat.org/oclc/9254495","WorldCat Record")</f>
        <v/>
      </c>
      <c r="AU72" t="inlineStr">
        <is>
          <t>20601451:eng</t>
        </is>
      </c>
      <c r="AV72" t="inlineStr">
        <is>
          <t>9254495</t>
        </is>
      </c>
      <c r="AW72" t="inlineStr">
        <is>
          <t>991000157919702656</t>
        </is>
      </c>
      <c r="AX72" t="inlineStr">
        <is>
          <t>991000157919702656</t>
        </is>
      </c>
      <c r="AY72" t="inlineStr">
        <is>
          <t>2259083760002656</t>
        </is>
      </c>
      <c r="AZ72" t="inlineStr">
        <is>
          <t>BOOK</t>
        </is>
      </c>
      <c r="BB72" t="inlineStr">
        <is>
          <t>9780023708602</t>
        </is>
      </c>
      <c r="BC72" t="inlineStr">
        <is>
          <t>32285000890680</t>
        </is>
      </c>
      <c r="BD72" t="inlineStr">
        <is>
          <t>893884178</t>
        </is>
      </c>
    </row>
    <row r="73">
      <c r="A73" t="inlineStr">
        <is>
          <t>No</t>
        </is>
      </c>
      <c r="B73" t="inlineStr">
        <is>
          <t>TT157 .Y58 1972</t>
        </is>
      </c>
      <c r="C73" t="inlineStr">
        <is>
          <t>0                      TT 0157000Y  58          1972</t>
        </is>
      </c>
      <c r="D73" t="inlineStr">
        <is>
          <t>Woodstock craftsmans̕ manual / provoked by Jean Young.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K73" t="inlineStr">
        <is>
          <t>Young, Jean.</t>
        </is>
      </c>
      <c r="L73" t="inlineStr">
        <is>
          <t>New York : Praeger, 1972.</t>
        </is>
      </c>
      <c r="M73" t="inlineStr">
        <is>
          <t>1972</t>
        </is>
      </c>
      <c r="O73" t="inlineStr">
        <is>
          <t>eng</t>
        </is>
      </c>
      <c r="P73" t="inlineStr">
        <is>
          <t>nyu</t>
        </is>
      </c>
      <c r="R73" t="inlineStr">
        <is>
          <t xml:space="preserve">TT </t>
        </is>
      </c>
      <c r="S73" t="n">
        <v>13</v>
      </c>
      <c r="T73" t="n">
        <v>13</v>
      </c>
      <c r="U73" t="inlineStr">
        <is>
          <t>2005-04-24</t>
        </is>
      </c>
      <c r="V73" t="inlineStr">
        <is>
          <t>2005-04-24</t>
        </is>
      </c>
      <c r="W73" t="inlineStr">
        <is>
          <t>1992-10-10</t>
        </is>
      </c>
      <c r="X73" t="inlineStr">
        <is>
          <t>1992-10-10</t>
        </is>
      </c>
      <c r="Y73" t="n">
        <v>181</v>
      </c>
      <c r="Z73" t="n">
        <v>174</v>
      </c>
      <c r="AA73" t="n">
        <v>758</v>
      </c>
      <c r="AB73" t="n">
        <v>3</v>
      </c>
      <c r="AC73" t="n">
        <v>8</v>
      </c>
      <c r="AD73" t="n">
        <v>1</v>
      </c>
      <c r="AE73" t="n">
        <v>6</v>
      </c>
      <c r="AF73" t="n">
        <v>0</v>
      </c>
      <c r="AG73" t="n">
        <v>2</v>
      </c>
      <c r="AH73" t="n">
        <v>0</v>
      </c>
      <c r="AI73" t="n">
        <v>1</v>
      </c>
      <c r="AJ73" t="n">
        <v>0</v>
      </c>
      <c r="AK73" t="n">
        <v>2</v>
      </c>
      <c r="AL73" t="n">
        <v>1</v>
      </c>
      <c r="AM73" t="n">
        <v>2</v>
      </c>
      <c r="AN73" t="n">
        <v>0</v>
      </c>
      <c r="AO73" t="n">
        <v>0</v>
      </c>
      <c r="AP73" t="inlineStr">
        <is>
          <t>No</t>
        </is>
      </c>
      <c r="AQ73" t="inlineStr">
        <is>
          <t>No</t>
        </is>
      </c>
      <c r="AS73">
        <f>HYPERLINK("https://creighton-primo.hosted.exlibrisgroup.com/primo-explore/search?tab=default_tab&amp;search_scope=EVERYTHING&amp;vid=01CRU&amp;lang=en_US&amp;offset=0&amp;query=any,contains,991005148279702656","Catalog Record")</f>
        <v/>
      </c>
      <c r="AT73">
        <f>HYPERLINK("http://www.worldcat.org/oclc/7674633","WorldCat Record")</f>
        <v/>
      </c>
      <c r="AU73" t="inlineStr">
        <is>
          <t>571716:eng</t>
        </is>
      </c>
      <c r="AV73" t="inlineStr">
        <is>
          <t>7674633</t>
        </is>
      </c>
      <c r="AW73" t="inlineStr">
        <is>
          <t>991005148279702656</t>
        </is>
      </c>
      <c r="AX73" t="inlineStr">
        <is>
          <t>991005148279702656</t>
        </is>
      </c>
      <c r="AY73" t="inlineStr">
        <is>
          <t>2257756850002656</t>
        </is>
      </c>
      <c r="AZ73" t="inlineStr">
        <is>
          <t>BOOK</t>
        </is>
      </c>
      <c r="BC73" t="inlineStr">
        <is>
          <t>32285001346203</t>
        </is>
      </c>
      <c r="BD73" t="inlineStr">
        <is>
          <t>893694816</t>
        </is>
      </c>
    </row>
    <row r="74">
      <c r="A74" t="inlineStr">
        <is>
          <t>No</t>
        </is>
      </c>
      <c r="B74" t="inlineStr">
        <is>
          <t>TT160 .M2584 1994</t>
        </is>
      </c>
      <c r="C74" t="inlineStr">
        <is>
          <t>0                      TT 0160000M  2584        1994</t>
        </is>
      </c>
      <c r="D74" t="inlineStr">
        <is>
          <t>Animal crafts / Iain MacLeod-Brudenell ; photographs by Zul Mukhida.</t>
        </is>
      </c>
      <c r="F74" t="inlineStr">
        <is>
          <t>No</t>
        </is>
      </c>
      <c r="G74" t="inlineStr">
        <is>
          <t>1</t>
        </is>
      </c>
      <c r="H74" t="inlineStr">
        <is>
          <t>No</t>
        </is>
      </c>
      <c r="I74" t="inlineStr">
        <is>
          <t>No</t>
        </is>
      </c>
      <c r="J74" t="inlineStr">
        <is>
          <t>0</t>
        </is>
      </c>
      <c r="K74" t="inlineStr">
        <is>
          <t>MacLeod-Brudenell, Iain.</t>
        </is>
      </c>
      <c r="L74" t="inlineStr">
        <is>
          <t>Milwaukee : Gareth Stevens Pub., 1994.</t>
        </is>
      </c>
      <c r="M74" t="inlineStr">
        <is>
          <t>1994</t>
        </is>
      </c>
      <c r="N74" t="inlineStr">
        <is>
          <t>North American ed.</t>
        </is>
      </c>
      <c r="O74" t="inlineStr">
        <is>
          <t>eng</t>
        </is>
      </c>
      <c r="P74" t="inlineStr">
        <is>
          <t>wiu</t>
        </is>
      </c>
      <c r="Q74" t="inlineStr">
        <is>
          <t>Worldwide crafts</t>
        </is>
      </c>
      <c r="R74" t="inlineStr">
        <is>
          <t xml:space="preserve">TT </t>
        </is>
      </c>
      <c r="S74" t="n">
        <v>8</v>
      </c>
      <c r="T74" t="n">
        <v>8</v>
      </c>
      <c r="U74" t="inlineStr">
        <is>
          <t>2004-09-14</t>
        </is>
      </c>
      <c r="V74" t="inlineStr">
        <is>
          <t>2004-09-14</t>
        </is>
      </c>
      <c r="W74" t="inlineStr">
        <is>
          <t>1995-01-06</t>
        </is>
      </c>
      <c r="X74" t="inlineStr">
        <is>
          <t>1995-01-06</t>
        </is>
      </c>
      <c r="Y74" t="n">
        <v>516</v>
      </c>
      <c r="Z74" t="n">
        <v>494</v>
      </c>
      <c r="AA74" t="n">
        <v>499</v>
      </c>
      <c r="AB74" t="n">
        <v>3</v>
      </c>
      <c r="AC74" t="n">
        <v>3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0</v>
      </c>
      <c r="AK74" t="n">
        <v>0</v>
      </c>
      <c r="AL74" t="n">
        <v>0</v>
      </c>
      <c r="AM74" t="n">
        <v>0</v>
      </c>
      <c r="AN74" t="n">
        <v>0</v>
      </c>
      <c r="AO74" t="n">
        <v>0</v>
      </c>
      <c r="AP74" t="inlineStr">
        <is>
          <t>No</t>
        </is>
      </c>
      <c r="AQ74" t="inlineStr">
        <is>
          <t>No</t>
        </is>
      </c>
      <c r="AS74">
        <f>HYPERLINK("https://creighton-primo.hosted.exlibrisgroup.com/primo-explore/search?tab=default_tab&amp;search_scope=EVERYTHING&amp;vid=01CRU&amp;lang=en_US&amp;offset=0&amp;query=any,contains,991004576769702656","Catalog Record")</f>
        <v/>
      </c>
      <c r="AT74">
        <f>HYPERLINK("http://www.worldcat.org/oclc/30547355","WorldCat Record")</f>
        <v/>
      </c>
      <c r="AU74" t="inlineStr">
        <is>
          <t>4230770884:eng</t>
        </is>
      </c>
      <c r="AV74" t="inlineStr">
        <is>
          <t>30547355</t>
        </is>
      </c>
      <c r="AW74" t="inlineStr">
        <is>
          <t>991004576769702656</t>
        </is>
      </c>
      <c r="AX74" t="inlineStr">
        <is>
          <t>991004576769702656</t>
        </is>
      </c>
      <c r="AY74" t="inlineStr">
        <is>
          <t>2263907190002656</t>
        </is>
      </c>
      <c r="AZ74" t="inlineStr">
        <is>
          <t>BOOK</t>
        </is>
      </c>
      <c r="BB74" t="inlineStr">
        <is>
          <t>9780836811513</t>
        </is>
      </c>
      <c r="BC74" t="inlineStr">
        <is>
          <t>32285001991222</t>
        </is>
      </c>
      <c r="BD74" t="inlineStr">
        <is>
          <t>893220905</t>
        </is>
      </c>
    </row>
    <row r="75">
      <c r="A75" t="inlineStr">
        <is>
          <t>No</t>
        </is>
      </c>
      <c r="B75" t="inlineStr">
        <is>
          <t>TT180 .M384</t>
        </is>
      </c>
      <c r="C75" t="inlineStr">
        <is>
          <t>0                      TT 0180000M  384</t>
        </is>
      </c>
      <c r="D75" t="inlineStr">
        <is>
          <t>Woodworking, the new wave : today's design trends in objects, furniture and sculpture with artist interviews / by Dona Z. Meilach.</t>
        </is>
      </c>
      <c r="F75" t="inlineStr">
        <is>
          <t>No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K75" t="inlineStr">
        <is>
          <t>Meilach, Dona Z.</t>
        </is>
      </c>
      <c r="L75" t="inlineStr">
        <is>
          <t>New York : Crown Publishers, c1981.</t>
        </is>
      </c>
      <c r="M75" t="inlineStr">
        <is>
          <t>1981</t>
        </is>
      </c>
      <c r="N75" t="inlineStr">
        <is>
          <t>1st ed.</t>
        </is>
      </c>
      <c r="O75" t="inlineStr">
        <is>
          <t>eng</t>
        </is>
      </c>
      <c r="P75" t="inlineStr">
        <is>
          <t>nyu</t>
        </is>
      </c>
      <c r="R75" t="inlineStr">
        <is>
          <t xml:space="preserve">TT </t>
        </is>
      </c>
      <c r="S75" t="n">
        <v>10</v>
      </c>
      <c r="T75" t="n">
        <v>10</v>
      </c>
      <c r="U75" t="inlineStr">
        <is>
          <t>1995-09-07</t>
        </is>
      </c>
      <c r="V75" t="inlineStr">
        <is>
          <t>1995-09-07</t>
        </is>
      </c>
      <c r="W75" t="inlineStr">
        <is>
          <t>1993-08-03</t>
        </is>
      </c>
      <c r="X75" t="inlineStr">
        <is>
          <t>1993-08-03</t>
        </is>
      </c>
      <c r="Y75" t="n">
        <v>287</v>
      </c>
      <c r="Z75" t="n">
        <v>219</v>
      </c>
      <c r="AA75" t="n">
        <v>219</v>
      </c>
      <c r="AB75" t="n">
        <v>1</v>
      </c>
      <c r="AC75" t="n">
        <v>1</v>
      </c>
      <c r="AD75" t="n">
        <v>2</v>
      </c>
      <c r="AE75" t="n">
        <v>2</v>
      </c>
      <c r="AF75" t="n">
        <v>2</v>
      </c>
      <c r="AG75" t="n">
        <v>2</v>
      </c>
      <c r="AH75" t="n">
        <v>0</v>
      </c>
      <c r="AI75" t="n">
        <v>0</v>
      </c>
      <c r="AJ75" t="n">
        <v>1</v>
      </c>
      <c r="AK75" t="n">
        <v>1</v>
      </c>
      <c r="AL75" t="n">
        <v>0</v>
      </c>
      <c r="AM75" t="n">
        <v>0</v>
      </c>
      <c r="AN75" t="n">
        <v>0</v>
      </c>
      <c r="AO75" t="n">
        <v>0</v>
      </c>
      <c r="AP75" t="inlineStr">
        <is>
          <t>No</t>
        </is>
      </c>
      <c r="AQ75" t="inlineStr">
        <is>
          <t>No</t>
        </is>
      </c>
      <c r="AS75">
        <f>HYPERLINK("https://creighton-primo.hosted.exlibrisgroup.com/primo-explore/search?tab=default_tab&amp;search_scope=EVERYTHING&amp;vid=01CRU&amp;lang=en_US&amp;offset=0&amp;query=any,contains,991005092979702656","Catalog Record")</f>
        <v/>
      </c>
      <c r="AT75">
        <f>HYPERLINK("http://www.worldcat.org/oclc/7248565","WorldCat Record")</f>
        <v/>
      </c>
      <c r="AU75" t="inlineStr">
        <is>
          <t>500469725:eng</t>
        </is>
      </c>
      <c r="AV75" t="inlineStr">
        <is>
          <t>7248565</t>
        </is>
      </c>
      <c r="AW75" t="inlineStr">
        <is>
          <t>991005092979702656</t>
        </is>
      </c>
      <c r="AX75" t="inlineStr">
        <is>
          <t>991005092979702656</t>
        </is>
      </c>
      <c r="AY75" t="inlineStr">
        <is>
          <t>2267770980002656</t>
        </is>
      </c>
      <c r="AZ75" t="inlineStr">
        <is>
          <t>BOOK</t>
        </is>
      </c>
      <c r="BB75" t="inlineStr">
        <is>
          <t>9780517541920</t>
        </is>
      </c>
      <c r="BC75" t="inlineStr">
        <is>
          <t>32285001748788</t>
        </is>
      </c>
      <c r="BD75" t="inlineStr">
        <is>
          <t>893600598</t>
        </is>
      </c>
    </row>
    <row r="76">
      <c r="A76" t="inlineStr">
        <is>
          <t>No</t>
        </is>
      </c>
      <c r="B76" t="inlineStr">
        <is>
          <t>TT196 .P33 1983</t>
        </is>
      </c>
      <c r="C76" t="inlineStr">
        <is>
          <t>0                      TT 0196000P  33          1983</t>
        </is>
      </c>
      <c r="D76" t="inlineStr">
        <is>
          <t>Furniture designed by architects / by Marian Page.</t>
        </is>
      </c>
      <c r="F76" t="inlineStr">
        <is>
          <t>No</t>
        </is>
      </c>
      <c r="G76" t="inlineStr">
        <is>
          <t>1</t>
        </is>
      </c>
      <c r="H76" t="inlineStr">
        <is>
          <t>No</t>
        </is>
      </c>
      <c r="I76" t="inlineStr">
        <is>
          <t>No</t>
        </is>
      </c>
      <c r="J76" t="inlineStr">
        <is>
          <t>0</t>
        </is>
      </c>
      <c r="K76" t="inlineStr">
        <is>
          <t>Page, Marian, 1918-</t>
        </is>
      </c>
      <c r="L76" t="inlineStr">
        <is>
          <t>New York : Whitney Library of Design ; London : Architectural Press, 1983, c1980.</t>
        </is>
      </c>
      <c r="M76" t="inlineStr">
        <is>
          <t>1983</t>
        </is>
      </c>
      <c r="N76" t="inlineStr">
        <is>
          <t>Paperback ed.</t>
        </is>
      </c>
      <c r="O76" t="inlineStr">
        <is>
          <t>eng</t>
        </is>
      </c>
      <c r="P76" t="inlineStr">
        <is>
          <t>nyu</t>
        </is>
      </c>
      <c r="R76" t="inlineStr">
        <is>
          <t xml:space="preserve">TT </t>
        </is>
      </c>
      <c r="S76" t="n">
        <v>13</v>
      </c>
      <c r="T76" t="n">
        <v>13</v>
      </c>
      <c r="U76" t="inlineStr">
        <is>
          <t>2000-05-12</t>
        </is>
      </c>
      <c r="V76" t="inlineStr">
        <is>
          <t>2000-05-12</t>
        </is>
      </c>
      <c r="W76" t="inlineStr">
        <is>
          <t>1992-11-03</t>
        </is>
      </c>
      <c r="X76" t="inlineStr">
        <is>
          <t>1992-11-03</t>
        </is>
      </c>
      <c r="Y76" t="n">
        <v>72</v>
      </c>
      <c r="Z76" t="n">
        <v>62</v>
      </c>
      <c r="AA76" t="n">
        <v>549</v>
      </c>
      <c r="AB76" t="n">
        <v>1</v>
      </c>
      <c r="AC76" t="n">
        <v>4</v>
      </c>
      <c r="AD76" t="n">
        <v>1</v>
      </c>
      <c r="AE76" t="n">
        <v>17</v>
      </c>
      <c r="AF76" t="n">
        <v>1</v>
      </c>
      <c r="AG76" t="n">
        <v>9</v>
      </c>
      <c r="AH76" t="n">
        <v>0</v>
      </c>
      <c r="AI76" t="n">
        <v>2</v>
      </c>
      <c r="AJ76" t="n">
        <v>0</v>
      </c>
      <c r="AK76" t="n">
        <v>5</v>
      </c>
      <c r="AL76" t="n">
        <v>0</v>
      </c>
      <c r="AM76" t="n">
        <v>3</v>
      </c>
      <c r="AN76" t="n">
        <v>0</v>
      </c>
      <c r="AO76" t="n">
        <v>0</v>
      </c>
      <c r="AP76" t="inlineStr">
        <is>
          <t>No</t>
        </is>
      </c>
      <c r="AQ76" t="inlineStr">
        <is>
          <t>No</t>
        </is>
      </c>
      <c r="AS76">
        <f>HYPERLINK("https://creighton-primo.hosted.exlibrisgroup.com/primo-explore/search?tab=default_tab&amp;search_scope=EVERYTHING&amp;vid=01CRU&amp;lang=en_US&amp;offset=0&amp;query=any,contains,991005406429702656","Catalog Record")</f>
        <v/>
      </c>
      <c r="AT76">
        <f>HYPERLINK("http://www.worldcat.org/oclc/13352975","WorldCat Record")</f>
        <v/>
      </c>
      <c r="AU76" t="inlineStr">
        <is>
          <t>6744756:eng</t>
        </is>
      </c>
      <c r="AV76" t="inlineStr">
        <is>
          <t>13352975</t>
        </is>
      </c>
      <c r="AW76" t="inlineStr">
        <is>
          <t>991005406429702656</t>
        </is>
      </c>
      <c r="AX76" t="inlineStr">
        <is>
          <t>991005406429702656</t>
        </is>
      </c>
      <c r="AY76" t="inlineStr">
        <is>
          <t>2262999820002656</t>
        </is>
      </c>
      <c r="AZ76" t="inlineStr">
        <is>
          <t>BOOK</t>
        </is>
      </c>
      <c r="BC76" t="inlineStr">
        <is>
          <t>32285001380889</t>
        </is>
      </c>
      <c r="BD76" t="inlineStr">
        <is>
          <t>893613656</t>
        </is>
      </c>
    </row>
    <row r="77">
      <c r="A77" t="inlineStr">
        <is>
          <t>No</t>
        </is>
      </c>
      <c r="B77" t="inlineStr">
        <is>
          <t>TT199 .T49 1980</t>
        </is>
      </c>
      <c r="C77" t="inlineStr">
        <is>
          <t>0                      TT 0199000T  49          1980</t>
        </is>
      </c>
      <c r="D77" t="inlineStr">
        <is>
          <t>Repairing furniture / by the editors of Time-Life Books.</t>
        </is>
      </c>
      <c r="F77" t="inlineStr">
        <is>
          <t>No</t>
        </is>
      </c>
      <c r="G77" t="inlineStr">
        <is>
          <t>1</t>
        </is>
      </c>
      <c r="H77" t="inlineStr">
        <is>
          <t>No</t>
        </is>
      </c>
      <c r="I77" t="inlineStr">
        <is>
          <t>No</t>
        </is>
      </c>
      <c r="J77" t="inlineStr">
        <is>
          <t>0</t>
        </is>
      </c>
      <c r="K77" t="inlineStr">
        <is>
          <t>Time-Life Books.</t>
        </is>
      </c>
      <c r="L77" t="inlineStr">
        <is>
          <t>Alexandria, Va. : Time-Life Books, c1980.</t>
        </is>
      </c>
      <c r="M77" t="inlineStr">
        <is>
          <t>1980</t>
        </is>
      </c>
      <c r="O77" t="inlineStr">
        <is>
          <t>eng</t>
        </is>
      </c>
      <c r="P77" t="inlineStr">
        <is>
          <t>vau</t>
        </is>
      </c>
      <c r="Q77" t="inlineStr">
        <is>
          <t>Home repair and improvement ; 24</t>
        </is>
      </c>
      <c r="R77" t="inlineStr">
        <is>
          <t xml:space="preserve">TT </t>
        </is>
      </c>
      <c r="S77" t="n">
        <v>8</v>
      </c>
      <c r="T77" t="n">
        <v>8</v>
      </c>
      <c r="U77" t="inlineStr">
        <is>
          <t>1998-10-07</t>
        </is>
      </c>
      <c r="V77" t="inlineStr">
        <is>
          <t>1998-10-07</t>
        </is>
      </c>
      <c r="W77" t="inlineStr">
        <is>
          <t>1993-08-03</t>
        </is>
      </c>
      <c r="X77" t="inlineStr">
        <is>
          <t>1993-08-03</t>
        </is>
      </c>
      <c r="Y77" t="n">
        <v>858</v>
      </c>
      <c r="Z77" t="n">
        <v>826</v>
      </c>
      <c r="AA77" t="n">
        <v>1121</v>
      </c>
      <c r="AB77" t="n">
        <v>8</v>
      </c>
      <c r="AC77" t="n">
        <v>10</v>
      </c>
      <c r="AD77" t="n">
        <v>1</v>
      </c>
      <c r="AE77" t="n">
        <v>1</v>
      </c>
      <c r="AF77" t="n">
        <v>1</v>
      </c>
      <c r="AG77" t="n">
        <v>1</v>
      </c>
      <c r="AH77" t="n">
        <v>0</v>
      </c>
      <c r="AI77" t="n">
        <v>0</v>
      </c>
      <c r="AJ77" t="n">
        <v>0</v>
      </c>
      <c r="AK77" t="n">
        <v>0</v>
      </c>
      <c r="AL77" t="n">
        <v>0</v>
      </c>
      <c r="AM77" t="n">
        <v>0</v>
      </c>
      <c r="AN77" t="n">
        <v>0</v>
      </c>
      <c r="AO77" t="n">
        <v>0</v>
      </c>
      <c r="AP77" t="inlineStr">
        <is>
          <t>No</t>
        </is>
      </c>
      <c r="AQ77" t="inlineStr">
        <is>
          <t>No</t>
        </is>
      </c>
      <c r="AS77">
        <f>HYPERLINK("https://creighton-primo.hosted.exlibrisgroup.com/primo-explore/search?tab=default_tab&amp;search_scope=EVERYTHING&amp;vid=01CRU&amp;lang=en_US&amp;offset=0&amp;query=any,contains,991004974309702656","Catalog Record")</f>
        <v/>
      </c>
      <c r="AT77">
        <f>HYPERLINK("http://www.worldcat.org/oclc/6378838","WorldCat Record")</f>
        <v/>
      </c>
      <c r="AU77" t="inlineStr">
        <is>
          <t>55941171:eng</t>
        </is>
      </c>
      <c r="AV77" t="inlineStr">
        <is>
          <t>6378838</t>
        </is>
      </c>
      <c r="AW77" t="inlineStr">
        <is>
          <t>991004974309702656</t>
        </is>
      </c>
      <c r="AX77" t="inlineStr">
        <is>
          <t>991004974309702656</t>
        </is>
      </c>
      <c r="AY77" t="inlineStr">
        <is>
          <t>2268854470002656</t>
        </is>
      </c>
      <c r="AZ77" t="inlineStr">
        <is>
          <t>BOOK</t>
        </is>
      </c>
      <c r="BB77" t="inlineStr">
        <is>
          <t>9780809424399</t>
        </is>
      </c>
      <c r="BC77" t="inlineStr">
        <is>
          <t>32285001748804</t>
        </is>
      </c>
      <c r="BD77" t="inlineStr">
        <is>
          <t>893446483</t>
        </is>
      </c>
    </row>
    <row r="78">
      <c r="A78" t="inlineStr">
        <is>
          <t>No</t>
        </is>
      </c>
      <c r="B78" t="inlineStr">
        <is>
          <t>TT199 .W46 1975</t>
        </is>
      </c>
      <c r="C78" t="inlineStr">
        <is>
          <t>0                      TT 0199000W  46          1975</t>
        </is>
      </c>
      <c r="D78" t="inlineStr">
        <is>
          <t>Restoring antique furniture / Leslie Wenn ; with an historical introd. by Martin Drury.</t>
        </is>
      </c>
      <c r="F78" t="inlineStr">
        <is>
          <t>No</t>
        </is>
      </c>
      <c r="G78" t="inlineStr">
        <is>
          <t>1</t>
        </is>
      </c>
      <c r="H78" t="inlineStr">
        <is>
          <t>No</t>
        </is>
      </c>
      <c r="I78" t="inlineStr">
        <is>
          <t>No</t>
        </is>
      </c>
      <c r="J78" t="inlineStr">
        <is>
          <t>0</t>
        </is>
      </c>
      <c r="K78" t="inlineStr">
        <is>
          <t>Wenn, Leslie.</t>
        </is>
      </c>
      <c r="L78" t="inlineStr">
        <is>
          <t>New York : Watson-Guptill, [1975] c1974.</t>
        </is>
      </c>
      <c r="M78" t="inlineStr">
        <is>
          <t>1975</t>
        </is>
      </c>
      <c r="O78" t="inlineStr">
        <is>
          <t>eng</t>
        </is>
      </c>
      <c r="P78" t="inlineStr">
        <is>
          <t>nyu</t>
        </is>
      </c>
      <c r="R78" t="inlineStr">
        <is>
          <t xml:space="preserve">TT </t>
        </is>
      </c>
      <c r="S78" t="n">
        <v>2</v>
      </c>
      <c r="T78" t="n">
        <v>2</v>
      </c>
      <c r="U78" t="inlineStr">
        <is>
          <t>1996-01-29</t>
        </is>
      </c>
      <c r="V78" t="inlineStr">
        <is>
          <t>1996-01-29</t>
        </is>
      </c>
      <c r="W78" t="inlineStr">
        <is>
          <t>1994-05-06</t>
        </is>
      </c>
      <c r="X78" t="inlineStr">
        <is>
          <t>1994-05-06</t>
        </is>
      </c>
      <c r="Y78" t="n">
        <v>318</v>
      </c>
      <c r="Z78" t="n">
        <v>314</v>
      </c>
      <c r="AA78" t="n">
        <v>345</v>
      </c>
      <c r="AB78" t="n">
        <v>3</v>
      </c>
      <c r="AC78" t="n">
        <v>3</v>
      </c>
      <c r="AD78" t="n">
        <v>3</v>
      </c>
      <c r="AE78" t="n">
        <v>3</v>
      </c>
      <c r="AF78" t="n">
        <v>1</v>
      </c>
      <c r="AG78" t="n">
        <v>1</v>
      </c>
      <c r="AH78" t="n">
        <v>1</v>
      </c>
      <c r="AI78" t="n">
        <v>1</v>
      </c>
      <c r="AJ78" t="n">
        <v>1</v>
      </c>
      <c r="AK78" t="n">
        <v>1</v>
      </c>
      <c r="AL78" t="n">
        <v>1</v>
      </c>
      <c r="AM78" t="n">
        <v>1</v>
      </c>
      <c r="AN78" t="n">
        <v>0</v>
      </c>
      <c r="AO78" t="n">
        <v>0</v>
      </c>
      <c r="AP78" t="inlineStr">
        <is>
          <t>No</t>
        </is>
      </c>
      <c r="AQ78" t="inlineStr">
        <is>
          <t>Yes</t>
        </is>
      </c>
      <c r="AR78">
        <f>HYPERLINK("http://catalog.hathitrust.org/Record/008704843","HathiTrust Record")</f>
        <v/>
      </c>
      <c r="AS78">
        <f>HYPERLINK("https://creighton-primo.hosted.exlibrisgroup.com/primo-explore/search?tab=default_tab&amp;search_scope=EVERYTHING&amp;vid=01CRU&amp;lang=en_US&amp;offset=0&amp;query=any,contains,991003613429702656","Catalog Record")</f>
        <v/>
      </c>
      <c r="AT78">
        <f>HYPERLINK("http://www.worldcat.org/oclc/1195980","WorldCat Record")</f>
        <v/>
      </c>
      <c r="AU78" t="inlineStr">
        <is>
          <t>2156431:eng</t>
        </is>
      </c>
      <c r="AV78" t="inlineStr">
        <is>
          <t>1195980</t>
        </is>
      </c>
      <c r="AW78" t="inlineStr">
        <is>
          <t>991003613429702656</t>
        </is>
      </c>
      <c r="AX78" t="inlineStr">
        <is>
          <t>991003613429702656</t>
        </is>
      </c>
      <c r="AY78" t="inlineStr">
        <is>
          <t>2260177890002656</t>
        </is>
      </c>
      <c r="AZ78" t="inlineStr">
        <is>
          <t>BOOK</t>
        </is>
      </c>
      <c r="BB78" t="inlineStr">
        <is>
          <t>9780823045464</t>
        </is>
      </c>
      <c r="BC78" t="inlineStr">
        <is>
          <t>32285001907152</t>
        </is>
      </c>
      <c r="BD78" t="inlineStr">
        <is>
          <t>893422752</t>
        </is>
      </c>
    </row>
    <row r="79">
      <c r="A79" t="inlineStr">
        <is>
          <t>No</t>
        </is>
      </c>
      <c r="B79" t="inlineStr">
        <is>
          <t>TT199.7 .T37 1979</t>
        </is>
      </c>
      <c r="C79" t="inlineStr">
        <is>
          <t>0                      TT 0199700T  37          1979</t>
        </is>
      </c>
      <c r="D79" t="inlineStr">
        <is>
          <t>1001 designs for whittling and woodcarving / E. J. Tangerman.</t>
        </is>
      </c>
      <c r="F79" t="inlineStr">
        <is>
          <t>No</t>
        </is>
      </c>
      <c r="G79" t="inlineStr">
        <is>
          <t>1</t>
        </is>
      </c>
      <c r="H79" t="inlineStr">
        <is>
          <t>No</t>
        </is>
      </c>
      <c r="I79" t="inlineStr">
        <is>
          <t>No</t>
        </is>
      </c>
      <c r="J79" t="inlineStr">
        <is>
          <t>0</t>
        </is>
      </c>
      <c r="K79" t="inlineStr">
        <is>
          <t>Tangerman, E. J. (Elmer John), 1907-1998.</t>
        </is>
      </c>
      <c r="L79" t="inlineStr">
        <is>
          <t>New York : Bonanza Books, 1979, c1976.</t>
        </is>
      </c>
      <c r="M79" t="inlineStr">
        <is>
          <t>1979</t>
        </is>
      </c>
      <c r="O79" t="inlineStr">
        <is>
          <t>eng</t>
        </is>
      </c>
      <c r="P79" t="inlineStr">
        <is>
          <t>nyu</t>
        </is>
      </c>
      <c r="R79" t="inlineStr">
        <is>
          <t xml:space="preserve">TT </t>
        </is>
      </c>
      <c r="S79" t="n">
        <v>3</v>
      </c>
      <c r="T79" t="n">
        <v>3</v>
      </c>
      <c r="U79" t="inlineStr">
        <is>
          <t>1994-04-06</t>
        </is>
      </c>
      <c r="V79" t="inlineStr">
        <is>
          <t>1994-04-06</t>
        </is>
      </c>
      <c r="W79" t="inlineStr">
        <is>
          <t>1993-08-03</t>
        </is>
      </c>
      <c r="X79" t="inlineStr">
        <is>
          <t>1993-08-03</t>
        </is>
      </c>
      <c r="Y79" t="n">
        <v>577</v>
      </c>
      <c r="Z79" t="n">
        <v>540</v>
      </c>
      <c r="AA79" t="n">
        <v>809</v>
      </c>
      <c r="AB79" t="n">
        <v>5</v>
      </c>
      <c r="AC79" t="n">
        <v>8</v>
      </c>
      <c r="AD79" t="n">
        <v>0</v>
      </c>
      <c r="AE79" t="n">
        <v>1</v>
      </c>
      <c r="AF79" t="n">
        <v>0</v>
      </c>
      <c r="AG79" t="n">
        <v>0</v>
      </c>
      <c r="AH79" t="n">
        <v>0</v>
      </c>
      <c r="AI79" t="n">
        <v>0</v>
      </c>
      <c r="AJ79" t="n">
        <v>0</v>
      </c>
      <c r="AK79" t="n">
        <v>0</v>
      </c>
      <c r="AL79" t="n">
        <v>0</v>
      </c>
      <c r="AM79" t="n">
        <v>1</v>
      </c>
      <c r="AN79" t="n">
        <v>0</v>
      </c>
      <c r="AO79" t="n">
        <v>0</v>
      </c>
      <c r="AP79" t="inlineStr">
        <is>
          <t>No</t>
        </is>
      </c>
      <c r="AQ79" t="inlineStr">
        <is>
          <t>No</t>
        </is>
      </c>
      <c r="AS79">
        <f>HYPERLINK("https://creighton-primo.hosted.exlibrisgroup.com/primo-explore/search?tab=default_tab&amp;search_scope=EVERYTHING&amp;vid=01CRU&amp;lang=en_US&amp;offset=0&amp;query=any,contains,991004801429702656","Catalog Record")</f>
        <v/>
      </c>
      <c r="AT79">
        <f>HYPERLINK("http://www.worldcat.org/oclc/5219210","WorldCat Record")</f>
        <v/>
      </c>
      <c r="AU79" t="inlineStr">
        <is>
          <t>196608245:eng</t>
        </is>
      </c>
      <c r="AV79" t="inlineStr">
        <is>
          <t>5219210</t>
        </is>
      </c>
      <c r="AW79" t="inlineStr">
        <is>
          <t>991004801429702656</t>
        </is>
      </c>
      <c r="AX79" t="inlineStr">
        <is>
          <t>991004801429702656</t>
        </is>
      </c>
      <c r="AY79" t="inlineStr">
        <is>
          <t>2268328080002656</t>
        </is>
      </c>
      <c r="AZ79" t="inlineStr">
        <is>
          <t>BOOK</t>
        </is>
      </c>
      <c r="BB79" t="inlineStr">
        <is>
          <t>9780517294086</t>
        </is>
      </c>
      <c r="BC79" t="inlineStr">
        <is>
          <t>32285001748812</t>
        </is>
      </c>
      <c r="BD79" t="inlineStr">
        <is>
          <t>893254112</t>
        </is>
      </c>
    </row>
    <row r="80">
      <c r="A80" t="inlineStr">
        <is>
          <t>No</t>
        </is>
      </c>
      <c r="B80" t="inlineStr">
        <is>
          <t>TT205 .U55 1968</t>
        </is>
      </c>
      <c r="C80" t="inlineStr">
        <is>
          <t>0                      TT 0205000U  55          1968</t>
        </is>
      </c>
      <c r="D80" t="inlineStr">
        <is>
          <t>Metal techniques for craftsmen : a basic manual for craftsmen on the methods of forming and decorating metals / by Oppi Untracht.</t>
        </is>
      </c>
      <c r="F80" t="inlineStr">
        <is>
          <t>No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K80" t="inlineStr">
        <is>
          <t>Untracht, Oppi.</t>
        </is>
      </c>
      <c r="L80" t="inlineStr">
        <is>
          <t>Garden City, N.Y. : Doubleday, [1968]</t>
        </is>
      </c>
      <c r="M80" t="inlineStr">
        <is>
          <t>1968</t>
        </is>
      </c>
      <c r="N80" t="inlineStr">
        <is>
          <t>[1st ed.]</t>
        </is>
      </c>
      <c r="O80" t="inlineStr">
        <is>
          <t>eng</t>
        </is>
      </c>
      <c r="P80" t="inlineStr">
        <is>
          <t>nyu</t>
        </is>
      </c>
      <c r="R80" t="inlineStr">
        <is>
          <t xml:space="preserve">TT </t>
        </is>
      </c>
      <c r="S80" t="n">
        <v>1</v>
      </c>
      <c r="T80" t="n">
        <v>1</v>
      </c>
      <c r="U80" t="inlineStr">
        <is>
          <t>2003-09-02</t>
        </is>
      </c>
      <c r="V80" t="inlineStr">
        <is>
          <t>2003-09-02</t>
        </is>
      </c>
      <c r="W80" t="inlineStr">
        <is>
          <t>1993-08-03</t>
        </is>
      </c>
      <c r="X80" t="inlineStr">
        <is>
          <t>1993-08-03</t>
        </is>
      </c>
      <c r="Y80" t="n">
        <v>795</v>
      </c>
      <c r="Z80" t="n">
        <v>718</v>
      </c>
      <c r="AA80" t="n">
        <v>856</v>
      </c>
      <c r="AB80" t="n">
        <v>5</v>
      </c>
      <c r="AC80" t="n">
        <v>5</v>
      </c>
      <c r="AD80" t="n">
        <v>9</v>
      </c>
      <c r="AE80" t="n">
        <v>11</v>
      </c>
      <c r="AF80" t="n">
        <v>4</v>
      </c>
      <c r="AG80" t="n">
        <v>5</v>
      </c>
      <c r="AH80" t="n">
        <v>1</v>
      </c>
      <c r="AI80" t="n">
        <v>2</v>
      </c>
      <c r="AJ80" t="n">
        <v>1</v>
      </c>
      <c r="AK80" t="n">
        <v>1</v>
      </c>
      <c r="AL80" t="n">
        <v>3</v>
      </c>
      <c r="AM80" t="n">
        <v>3</v>
      </c>
      <c r="AN80" t="n">
        <v>0</v>
      </c>
      <c r="AO80" t="n">
        <v>0</v>
      </c>
      <c r="AP80" t="inlineStr">
        <is>
          <t>No</t>
        </is>
      </c>
      <c r="AQ80" t="inlineStr">
        <is>
          <t>Yes</t>
        </is>
      </c>
      <c r="AR80">
        <f>HYPERLINK("http://catalog.hathitrust.org/Record/001472214","HathiTrust Record")</f>
        <v/>
      </c>
      <c r="AS80">
        <f>HYPERLINK("https://creighton-primo.hosted.exlibrisgroup.com/primo-explore/search?tab=default_tab&amp;search_scope=EVERYTHING&amp;vid=01CRU&amp;lang=en_US&amp;offset=0&amp;query=any,contains,991001288679702656","Catalog Record")</f>
        <v/>
      </c>
      <c r="AT80">
        <f>HYPERLINK("http://www.worldcat.org/oclc/217433","WorldCat Record")</f>
        <v/>
      </c>
      <c r="AU80" t="inlineStr">
        <is>
          <t>453433:eng</t>
        </is>
      </c>
      <c r="AV80" t="inlineStr">
        <is>
          <t>217433</t>
        </is>
      </c>
      <c r="AW80" t="inlineStr">
        <is>
          <t>991001288679702656</t>
        </is>
      </c>
      <c r="AX80" t="inlineStr">
        <is>
          <t>991001288679702656</t>
        </is>
      </c>
      <c r="AY80" t="inlineStr">
        <is>
          <t>2258807100002656</t>
        </is>
      </c>
      <c r="AZ80" t="inlineStr">
        <is>
          <t>BOOK</t>
        </is>
      </c>
      <c r="BC80" t="inlineStr">
        <is>
          <t>32285001748838</t>
        </is>
      </c>
      <c r="BD80" t="inlineStr">
        <is>
          <t>893503291</t>
        </is>
      </c>
    </row>
    <row r="81">
      <c r="A81" t="inlineStr">
        <is>
          <t>No</t>
        </is>
      </c>
      <c r="B81" t="inlineStr">
        <is>
          <t>TT22 .H86 1942</t>
        </is>
      </c>
      <c r="C81" t="inlineStr">
        <is>
          <t>0                      TT 0022000H  86          1942</t>
        </is>
      </c>
      <c r="D81" t="inlineStr">
        <is>
          <t>Indiancraft / [by] W. Ben Hunt.</t>
        </is>
      </c>
      <c r="F81" t="inlineStr">
        <is>
          <t>No</t>
        </is>
      </c>
      <c r="G81" t="inlineStr">
        <is>
          <t>1</t>
        </is>
      </c>
      <c r="H81" t="inlineStr">
        <is>
          <t>No</t>
        </is>
      </c>
      <c r="I81" t="inlineStr">
        <is>
          <t>No</t>
        </is>
      </c>
      <c r="J81" t="inlineStr">
        <is>
          <t>0</t>
        </is>
      </c>
      <c r="K81" t="inlineStr">
        <is>
          <t>Hunt, W. Ben (Walter Ben), 1888-1970.</t>
        </is>
      </c>
      <c r="L81" t="inlineStr">
        <is>
          <t>Milwaukee : Bruce, c1942.</t>
        </is>
      </c>
      <c r="M81" t="inlineStr">
        <is>
          <t>1942</t>
        </is>
      </c>
      <c r="O81" t="inlineStr">
        <is>
          <t>eng</t>
        </is>
      </c>
      <c r="P81" t="inlineStr">
        <is>
          <t xml:space="preserve">xx </t>
        </is>
      </c>
      <c r="R81" t="inlineStr">
        <is>
          <t xml:space="preserve">TT </t>
        </is>
      </c>
      <c r="S81" t="n">
        <v>1</v>
      </c>
      <c r="T81" t="n">
        <v>1</v>
      </c>
      <c r="U81" t="inlineStr">
        <is>
          <t>2004-03-15</t>
        </is>
      </c>
      <c r="V81" t="inlineStr">
        <is>
          <t>2004-03-15</t>
        </is>
      </c>
      <c r="W81" t="inlineStr">
        <is>
          <t>2004-03-15</t>
        </is>
      </c>
      <c r="X81" t="inlineStr">
        <is>
          <t>2004-03-15</t>
        </is>
      </c>
      <c r="Y81" t="n">
        <v>214</v>
      </c>
      <c r="Z81" t="n">
        <v>205</v>
      </c>
      <c r="AA81" t="n">
        <v>206</v>
      </c>
      <c r="AB81" t="n">
        <v>3</v>
      </c>
      <c r="AC81" t="n">
        <v>3</v>
      </c>
      <c r="AD81" t="n">
        <v>2</v>
      </c>
      <c r="AE81" t="n">
        <v>2</v>
      </c>
      <c r="AF81" t="n">
        <v>1</v>
      </c>
      <c r="AG81" t="n">
        <v>1</v>
      </c>
      <c r="AH81" t="n">
        <v>1</v>
      </c>
      <c r="AI81" t="n">
        <v>1</v>
      </c>
      <c r="AJ81" t="n">
        <v>0</v>
      </c>
      <c r="AK81" t="n">
        <v>0</v>
      </c>
      <c r="AL81" t="n">
        <v>0</v>
      </c>
      <c r="AM81" t="n">
        <v>0</v>
      </c>
      <c r="AN81" t="n">
        <v>0</v>
      </c>
      <c r="AO81" t="n">
        <v>0</v>
      </c>
      <c r="AP81" t="inlineStr">
        <is>
          <t>No</t>
        </is>
      </c>
      <c r="AQ81" t="inlineStr">
        <is>
          <t>No</t>
        </is>
      </c>
      <c r="AS81">
        <f>HYPERLINK("https://creighton-primo.hosted.exlibrisgroup.com/primo-explore/search?tab=default_tab&amp;search_scope=EVERYTHING&amp;vid=01CRU&amp;lang=en_US&amp;offset=0&amp;query=any,contains,991004262729702656","Catalog Record")</f>
        <v/>
      </c>
      <c r="AT81">
        <f>HYPERLINK("http://www.worldcat.org/oclc/1362233","WorldCat Record")</f>
        <v/>
      </c>
      <c r="AU81" t="inlineStr">
        <is>
          <t>3901074135:eng</t>
        </is>
      </c>
      <c r="AV81" t="inlineStr">
        <is>
          <t>1362233</t>
        </is>
      </c>
      <c r="AW81" t="inlineStr">
        <is>
          <t>991004262729702656</t>
        </is>
      </c>
      <c r="AX81" t="inlineStr">
        <is>
          <t>991004262729702656</t>
        </is>
      </c>
      <c r="AY81" t="inlineStr">
        <is>
          <t>2258767580002656</t>
        </is>
      </c>
      <c r="AZ81" t="inlineStr">
        <is>
          <t>BOOK</t>
        </is>
      </c>
      <c r="BC81" t="inlineStr">
        <is>
          <t>32285004893078</t>
        </is>
      </c>
      <c r="BD81" t="inlineStr">
        <is>
          <t>893901012</t>
        </is>
      </c>
    </row>
    <row r="82">
      <c r="A82" t="inlineStr">
        <is>
          <t>No</t>
        </is>
      </c>
      <c r="B82" t="inlineStr">
        <is>
          <t>TT273 .K657 1972</t>
        </is>
      </c>
      <c r="C82" t="inlineStr">
        <is>
          <t>0                      TT 0273000K  657         1972</t>
        </is>
      </c>
      <c r="D82" t="inlineStr">
        <is>
          <t>Photographic screen printing. Illus. by the author.</t>
        </is>
      </c>
      <c r="F82" t="inlineStr">
        <is>
          <t>No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K82" t="inlineStr">
        <is>
          <t>Kosloff, Albert.</t>
        </is>
      </c>
      <c r="L82" t="inlineStr">
        <is>
          <t>Cincinnati, Signs of the Times Pub. Co. [1972]</t>
        </is>
      </c>
      <c r="M82" t="inlineStr">
        <is>
          <t>1972</t>
        </is>
      </c>
      <c r="N82" t="inlineStr">
        <is>
          <t>4th ed.</t>
        </is>
      </c>
      <c r="O82" t="inlineStr">
        <is>
          <t>eng</t>
        </is>
      </c>
      <c r="P82" t="inlineStr">
        <is>
          <t xml:space="preserve">xx </t>
        </is>
      </c>
      <c r="R82" t="inlineStr">
        <is>
          <t xml:space="preserve">TT </t>
        </is>
      </c>
      <c r="S82" t="n">
        <v>0</v>
      </c>
      <c r="T82" t="n">
        <v>0</v>
      </c>
      <c r="U82" t="inlineStr">
        <is>
          <t>2006-06-29</t>
        </is>
      </c>
      <c r="V82" t="inlineStr">
        <is>
          <t>2006-06-29</t>
        </is>
      </c>
      <c r="W82" t="inlineStr">
        <is>
          <t>1997-08-29</t>
        </is>
      </c>
      <c r="X82" t="inlineStr">
        <is>
          <t>1997-08-29</t>
        </is>
      </c>
      <c r="Y82" t="n">
        <v>90</v>
      </c>
      <c r="Z82" t="n">
        <v>74</v>
      </c>
      <c r="AA82" t="n">
        <v>423</v>
      </c>
      <c r="AB82" t="n">
        <v>1</v>
      </c>
      <c r="AC82" t="n">
        <v>3</v>
      </c>
      <c r="AD82" t="n">
        <v>2</v>
      </c>
      <c r="AE82" t="n">
        <v>8</v>
      </c>
      <c r="AF82" t="n">
        <v>2</v>
      </c>
      <c r="AG82" t="n">
        <v>5</v>
      </c>
      <c r="AH82" t="n">
        <v>0</v>
      </c>
      <c r="AI82" t="n">
        <v>0</v>
      </c>
      <c r="AJ82" t="n">
        <v>2</v>
      </c>
      <c r="AK82" t="n">
        <v>3</v>
      </c>
      <c r="AL82" t="n">
        <v>0</v>
      </c>
      <c r="AM82" t="n">
        <v>2</v>
      </c>
      <c r="AN82" t="n">
        <v>0</v>
      </c>
      <c r="AO82" t="n">
        <v>0</v>
      </c>
      <c r="AP82" t="inlineStr">
        <is>
          <t>No</t>
        </is>
      </c>
      <c r="AQ82" t="inlineStr">
        <is>
          <t>No</t>
        </is>
      </c>
      <c r="AS82">
        <f>HYPERLINK("https://creighton-primo.hosted.exlibrisgroup.com/primo-explore/search?tab=default_tab&amp;search_scope=EVERYTHING&amp;vid=01CRU&amp;lang=en_US&amp;offset=0&amp;query=any,contains,991003216329702656","Catalog Record")</f>
        <v/>
      </c>
      <c r="AT82">
        <f>HYPERLINK("http://www.worldcat.org/oclc/742314","WorldCat Record")</f>
        <v/>
      </c>
      <c r="AU82" t="inlineStr">
        <is>
          <t>1211271:eng</t>
        </is>
      </c>
      <c r="AV82" t="inlineStr">
        <is>
          <t>742314</t>
        </is>
      </c>
      <c r="AW82" t="inlineStr">
        <is>
          <t>991003216329702656</t>
        </is>
      </c>
      <c r="AX82" t="inlineStr">
        <is>
          <t>991003216329702656</t>
        </is>
      </c>
      <c r="AY82" t="inlineStr">
        <is>
          <t>2270354830002656</t>
        </is>
      </c>
      <c r="AZ82" t="inlineStr">
        <is>
          <t>BOOK</t>
        </is>
      </c>
      <c r="BC82" t="inlineStr">
        <is>
          <t>32285003120002</t>
        </is>
      </c>
      <c r="BD82" t="inlineStr">
        <is>
          <t>893258178</t>
        </is>
      </c>
    </row>
    <row r="83">
      <c r="A83" t="inlineStr">
        <is>
          <t>No</t>
        </is>
      </c>
      <c r="B83" t="inlineStr">
        <is>
          <t>TT288 .R57 1972</t>
        </is>
      </c>
      <c r="C83" t="inlineStr">
        <is>
          <t>0                      TT 0288000R  57          1972</t>
        </is>
      </c>
      <c r="D83" t="inlineStr">
        <is>
          <t>Scrimshaw / by Carson I. A. Ritchie.</t>
        </is>
      </c>
      <c r="F83" t="inlineStr">
        <is>
          <t>No</t>
        </is>
      </c>
      <c r="G83" t="inlineStr">
        <is>
          <t>1</t>
        </is>
      </c>
      <c r="H83" t="inlineStr">
        <is>
          <t>No</t>
        </is>
      </c>
      <c r="I83" t="inlineStr">
        <is>
          <t>No</t>
        </is>
      </c>
      <c r="J83" t="inlineStr">
        <is>
          <t>0</t>
        </is>
      </c>
      <c r="K83" t="inlineStr">
        <is>
          <t>Ritchie, Carson I. A.</t>
        </is>
      </c>
      <c r="L83" t="inlineStr">
        <is>
          <t>New York : Sterling Pub. Co., c1972, 1973 printing.</t>
        </is>
      </c>
      <c r="M83" t="inlineStr">
        <is>
          <t>1972</t>
        </is>
      </c>
      <c r="O83" t="inlineStr">
        <is>
          <t>eng</t>
        </is>
      </c>
      <c r="P83" t="inlineStr">
        <is>
          <t>nyu</t>
        </is>
      </c>
      <c r="Q83" t="inlineStr">
        <is>
          <t>Little craft book series</t>
        </is>
      </c>
      <c r="R83" t="inlineStr">
        <is>
          <t xml:space="preserve">TT </t>
        </is>
      </c>
      <c r="S83" t="n">
        <v>3</v>
      </c>
      <c r="T83" t="n">
        <v>3</v>
      </c>
      <c r="U83" t="inlineStr">
        <is>
          <t>1995-01-12</t>
        </is>
      </c>
      <c r="V83" t="inlineStr">
        <is>
          <t>1995-01-12</t>
        </is>
      </c>
      <c r="W83" t="inlineStr">
        <is>
          <t>1993-08-03</t>
        </is>
      </c>
      <c r="X83" t="inlineStr">
        <is>
          <t>1993-08-03</t>
        </is>
      </c>
      <c r="Y83" t="n">
        <v>284</v>
      </c>
      <c r="Z83" t="n">
        <v>226</v>
      </c>
      <c r="AA83" t="n">
        <v>234</v>
      </c>
      <c r="AB83" t="n">
        <v>2</v>
      </c>
      <c r="AC83" t="n">
        <v>2</v>
      </c>
      <c r="AD83" t="n">
        <v>1</v>
      </c>
      <c r="AE83" t="n">
        <v>1</v>
      </c>
      <c r="AF83" t="n">
        <v>1</v>
      </c>
      <c r="AG83" t="n">
        <v>1</v>
      </c>
      <c r="AH83" t="n">
        <v>0</v>
      </c>
      <c r="AI83" t="n">
        <v>0</v>
      </c>
      <c r="AJ83" t="n">
        <v>0</v>
      </c>
      <c r="AK83" t="n">
        <v>0</v>
      </c>
      <c r="AL83" t="n">
        <v>0</v>
      </c>
      <c r="AM83" t="n">
        <v>0</v>
      </c>
      <c r="AN83" t="n">
        <v>0</v>
      </c>
      <c r="AO83" t="n">
        <v>0</v>
      </c>
      <c r="AP83" t="inlineStr">
        <is>
          <t>No</t>
        </is>
      </c>
      <c r="AQ83" t="inlineStr">
        <is>
          <t>No</t>
        </is>
      </c>
      <c r="AS83">
        <f>HYPERLINK("https://creighton-primo.hosted.exlibrisgroup.com/primo-explore/search?tab=default_tab&amp;search_scope=EVERYTHING&amp;vid=01CRU&amp;lang=en_US&amp;offset=0&amp;query=any,contains,991002383369702656","Catalog Record")</f>
        <v/>
      </c>
      <c r="AT83">
        <f>HYPERLINK("http://www.worldcat.org/oclc/328900","WorldCat Record")</f>
        <v/>
      </c>
      <c r="AU83" t="inlineStr">
        <is>
          <t>1423070:eng</t>
        </is>
      </c>
      <c r="AV83" t="inlineStr">
        <is>
          <t>328900</t>
        </is>
      </c>
      <c r="AW83" t="inlineStr">
        <is>
          <t>991002383369702656</t>
        </is>
      </c>
      <c r="AX83" t="inlineStr">
        <is>
          <t>991002383369702656</t>
        </is>
      </c>
      <c r="AY83" t="inlineStr">
        <is>
          <t>2271426090002656</t>
        </is>
      </c>
      <c r="AZ83" t="inlineStr">
        <is>
          <t>BOOK</t>
        </is>
      </c>
      <c r="BB83" t="inlineStr">
        <is>
          <t>9780806951942</t>
        </is>
      </c>
      <c r="BC83" t="inlineStr">
        <is>
          <t>32285001748846</t>
        </is>
      </c>
      <c r="BD83" t="inlineStr">
        <is>
          <t>893804548</t>
        </is>
      </c>
    </row>
    <row r="84">
      <c r="A84" t="inlineStr">
        <is>
          <t>No</t>
        </is>
      </c>
      <c r="B84" t="inlineStr">
        <is>
          <t>TT298 .L83 1983</t>
        </is>
      </c>
      <c r="C84" t="inlineStr">
        <is>
          <t>0                      TT 0298000L  83          1983</t>
        </is>
      </c>
      <c r="D84" t="inlineStr">
        <is>
          <t>Glass fusing / written by Boyce Lundstrom and Daniel Schwoerer.</t>
        </is>
      </c>
      <c r="E84" t="inlineStr">
        <is>
          <t>V.2</t>
        </is>
      </c>
      <c r="F84" t="inlineStr">
        <is>
          <t>Yes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K84" t="inlineStr">
        <is>
          <t>Lundstrom, Boyce.</t>
        </is>
      </c>
      <c r="L84" t="inlineStr">
        <is>
          <t>Portland, Or. : Vitreous Publications, 1983-c1989.</t>
        </is>
      </c>
      <c r="M84" t="inlineStr">
        <is>
          <t>1983</t>
        </is>
      </c>
      <c r="O84" t="inlineStr">
        <is>
          <t>eng</t>
        </is>
      </c>
      <c r="P84" t="inlineStr">
        <is>
          <t>oru</t>
        </is>
      </c>
      <c r="R84" t="inlineStr">
        <is>
          <t xml:space="preserve">TT </t>
        </is>
      </c>
      <c r="S84" t="n">
        <v>4</v>
      </c>
      <c r="T84" t="n">
        <v>11</v>
      </c>
      <c r="U84" t="inlineStr">
        <is>
          <t>2009-08-03</t>
        </is>
      </c>
      <c r="V84" t="inlineStr">
        <is>
          <t>2009-08-03</t>
        </is>
      </c>
      <c r="W84" t="inlineStr">
        <is>
          <t>1994-06-20</t>
        </is>
      </c>
      <c r="X84" t="inlineStr">
        <is>
          <t>1994-06-20</t>
        </is>
      </c>
      <c r="Y84" t="n">
        <v>149</v>
      </c>
      <c r="Z84" t="n">
        <v>122</v>
      </c>
      <c r="AA84" t="n">
        <v>122</v>
      </c>
      <c r="AB84" t="n">
        <v>4</v>
      </c>
      <c r="AC84" t="n">
        <v>4</v>
      </c>
      <c r="AD84" t="n">
        <v>3</v>
      </c>
      <c r="AE84" t="n">
        <v>3</v>
      </c>
      <c r="AF84" t="n">
        <v>0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  <c r="AL84" t="n">
        <v>3</v>
      </c>
      <c r="AM84" t="n">
        <v>3</v>
      </c>
      <c r="AN84" t="n">
        <v>0</v>
      </c>
      <c r="AO84" t="n">
        <v>0</v>
      </c>
      <c r="AP84" t="inlineStr">
        <is>
          <t>No</t>
        </is>
      </c>
      <c r="AQ84" t="inlineStr">
        <is>
          <t>No</t>
        </is>
      </c>
      <c r="AS84">
        <f>HYPERLINK("https://creighton-primo.hosted.exlibrisgroup.com/primo-explore/search?tab=default_tab&amp;search_scope=EVERYTHING&amp;vid=01CRU&amp;lang=en_US&amp;offset=0&amp;query=any,contains,991000386189702656","Catalog Record")</f>
        <v/>
      </c>
      <c r="AT84">
        <f>HYPERLINK("http://www.worldcat.org/oclc/10513563","WorldCat Record")</f>
        <v/>
      </c>
      <c r="AU84" t="inlineStr">
        <is>
          <t>4020211616:eng</t>
        </is>
      </c>
      <c r="AV84" t="inlineStr">
        <is>
          <t>10513563</t>
        </is>
      </c>
      <c r="AW84" t="inlineStr">
        <is>
          <t>991000386189702656</t>
        </is>
      </c>
      <c r="AX84" t="inlineStr">
        <is>
          <t>991000386189702656</t>
        </is>
      </c>
      <c r="AY84" t="inlineStr">
        <is>
          <t>2255646560002656</t>
        </is>
      </c>
      <c r="AZ84" t="inlineStr">
        <is>
          <t>BOOK</t>
        </is>
      </c>
      <c r="BB84" t="inlineStr">
        <is>
          <t>9780961228224</t>
        </is>
      </c>
      <c r="BC84" t="inlineStr">
        <is>
          <t>32285001923340</t>
        </is>
      </c>
      <c r="BD84" t="inlineStr">
        <is>
          <t>893683357</t>
        </is>
      </c>
    </row>
    <row r="85">
      <c r="A85" t="inlineStr">
        <is>
          <t>No</t>
        </is>
      </c>
      <c r="B85" t="inlineStr">
        <is>
          <t>TT298 .L83 1983</t>
        </is>
      </c>
      <c r="C85" t="inlineStr">
        <is>
          <t>0                      TT 0298000L  83          1983</t>
        </is>
      </c>
      <c r="D85" t="inlineStr">
        <is>
          <t>Glass fusing / written by Boyce Lundstrom and Daniel Schwoerer.</t>
        </is>
      </c>
      <c r="E85" t="inlineStr">
        <is>
          <t>V.3</t>
        </is>
      </c>
      <c r="F85" t="inlineStr">
        <is>
          <t>Yes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K85" t="inlineStr">
        <is>
          <t>Lundstrom, Boyce.</t>
        </is>
      </c>
      <c r="L85" t="inlineStr">
        <is>
          <t>Portland, Or. : Vitreous Publications, 1983-c1989.</t>
        </is>
      </c>
      <c r="M85" t="inlineStr">
        <is>
          <t>1983</t>
        </is>
      </c>
      <c r="O85" t="inlineStr">
        <is>
          <t>eng</t>
        </is>
      </c>
      <c r="P85" t="inlineStr">
        <is>
          <t>oru</t>
        </is>
      </c>
      <c r="R85" t="inlineStr">
        <is>
          <t xml:space="preserve">TT </t>
        </is>
      </c>
      <c r="S85" t="n">
        <v>7</v>
      </c>
      <c r="T85" t="n">
        <v>11</v>
      </c>
      <c r="U85" t="inlineStr">
        <is>
          <t>1994-10-21</t>
        </is>
      </c>
      <c r="V85" t="inlineStr">
        <is>
          <t>2009-08-03</t>
        </is>
      </c>
      <c r="W85" t="inlineStr">
        <is>
          <t>1994-06-20</t>
        </is>
      </c>
      <c r="X85" t="inlineStr">
        <is>
          <t>1994-06-20</t>
        </is>
      </c>
      <c r="Y85" t="n">
        <v>149</v>
      </c>
      <c r="Z85" t="n">
        <v>122</v>
      </c>
      <c r="AA85" t="n">
        <v>122</v>
      </c>
      <c r="AB85" t="n">
        <v>4</v>
      </c>
      <c r="AC85" t="n">
        <v>4</v>
      </c>
      <c r="AD85" t="n">
        <v>3</v>
      </c>
      <c r="AE85" t="n">
        <v>3</v>
      </c>
      <c r="AF85" t="n">
        <v>0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  <c r="AL85" t="n">
        <v>3</v>
      </c>
      <c r="AM85" t="n">
        <v>3</v>
      </c>
      <c r="AN85" t="n">
        <v>0</v>
      </c>
      <c r="AO85" t="n">
        <v>0</v>
      </c>
      <c r="AP85" t="inlineStr">
        <is>
          <t>No</t>
        </is>
      </c>
      <c r="AQ85" t="inlineStr">
        <is>
          <t>No</t>
        </is>
      </c>
      <c r="AS85">
        <f>HYPERLINK("https://creighton-primo.hosted.exlibrisgroup.com/primo-explore/search?tab=default_tab&amp;search_scope=EVERYTHING&amp;vid=01CRU&amp;lang=en_US&amp;offset=0&amp;query=any,contains,991000386189702656","Catalog Record")</f>
        <v/>
      </c>
      <c r="AT85">
        <f>HYPERLINK("http://www.worldcat.org/oclc/10513563","WorldCat Record")</f>
        <v/>
      </c>
      <c r="AU85" t="inlineStr">
        <is>
          <t>4020211616:eng</t>
        </is>
      </c>
      <c r="AV85" t="inlineStr">
        <is>
          <t>10513563</t>
        </is>
      </c>
      <c r="AW85" t="inlineStr">
        <is>
          <t>991000386189702656</t>
        </is>
      </c>
      <c r="AX85" t="inlineStr">
        <is>
          <t>991000386189702656</t>
        </is>
      </c>
      <c r="AY85" t="inlineStr">
        <is>
          <t>2255646560002656</t>
        </is>
      </c>
      <c r="AZ85" t="inlineStr">
        <is>
          <t>BOOK</t>
        </is>
      </c>
      <c r="BB85" t="inlineStr">
        <is>
          <t>9780961228224</t>
        </is>
      </c>
      <c r="BC85" t="inlineStr">
        <is>
          <t>32285001923357</t>
        </is>
      </c>
      <c r="BD85" t="inlineStr">
        <is>
          <t>893714533</t>
        </is>
      </c>
    </row>
    <row r="86">
      <c r="A86" t="inlineStr">
        <is>
          <t>No</t>
        </is>
      </c>
      <c r="B86" t="inlineStr">
        <is>
          <t>TT298 .R49 1990</t>
        </is>
      </c>
      <c r="C86" t="inlineStr">
        <is>
          <t>0                      TT 0298000R  49          1990</t>
        </is>
      </c>
      <c r="D86" t="inlineStr">
        <is>
          <t>The fused glass handbook / by Gil Reynolds.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K86" t="inlineStr">
        <is>
          <t>Reynolds, Gil, 1951-</t>
        </is>
      </c>
      <c r="L86" t="inlineStr">
        <is>
          <t>Scottsdale, Ariz. : Hidden Valley Books ; Portland, OR : Distributed by Fusion Headquarters, c1990.</t>
        </is>
      </c>
      <c r="M86" t="inlineStr">
        <is>
          <t>1990</t>
        </is>
      </c>
      <c r="N86" t="inlineStr">
        <is>
          <t>Rev. ed.</t>
        </is>
      </c>
      <c r="O86" t="inlineStr">
        <is>
          <t>eng</t>
        </is>
      </c>
      <c r="P86" t="inlineStr">
        <is>
          <t>azu</t>
        </is>
      </c>
      <c r="R86" t="inlineStr">
        <is>
          <t xml:space="preserve">TT </t>
        </is>
      </c>
      <c r="S86" t="n">
        <v>4</v>
      </c>
      <c r="T86" t="n">
        <v>4</v>
      </c>
      <c r="U86" t="inlineStr">
        <is>
          <t>2009-08-03</t>
        </is>
      </c>
      <c r="V86" t="inlineStr">
        <is>
          <t>2009-08-03</t>
        </is>
      </c>
      <c r="W86" t="inlineStr">
        <is>
          <t>1994-06-06</t>
        </is>
      </c>
      <c r="X86" t="inlineStr">
        <is>
          <t>1994-06-06</t>
        </is>
      </c>
      <c r="Y86" t="n">
        <v>83</v>
      </c>
      <c r="Z86" t="n">
        <v>71</v>
      </c>
      <c r="AA86" t="n">
        <v>82</v>
      </c>
      <c r="AB86" t="n">
        <v>1</v>
      </c>
      <c r="AC86" t="n">
        <v>1</v>
      </c>
      <c r="AD86" t="n">
        <v>0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  <c r="AL86" t="n">
        <v>0</v>
      </c>
      <c r="AM86" t="n">
        <v>0</v>
      </c>
      <c r="AN86" t="n">
        <v>0</v>
      </c>
      <c r="AO86" t="n">
        <v>0</v>
      </c>
      <c r="AP86" t="inlineStr">
        <is>
          <t>No</t>
        </is>
      </c>
      <c r="AQ86" t="inlineStr">
        <is>
          <t>No</t>
        </is>
      </c>
      <c r="AS86">
        <f>HYPERLINK("https://creighton-primo.hosted.exlibrisgroup.com/primo-explore/search?tab=default_tab&amp;search_scope=EVERYTHING&amp;vid=01CRU&amp;lang=en_US&amp;offset=0&amp;query=any,contains,991001790139702656","Catalog Record")</f>
        <v/>
      </c>
      <c r="AT86">
        <f>HYPERLINK("http://www.worldcat.org/oclc/22542490","WorldCat Record")</f>
        <v/>
      </c>
      <c r="AU86" t="inlineStr">
        <is>
          <t>12636620:eng</t>
        </is>
      </c>
      <c r="AV86" t="inlineStr">
        <is>
          <t>22542490</t>
        </is>
      </c>
      <c r="AW86" t="inlineStr">
        <is>
          <t>991001790139702656</t>
        </is>
      </c>
      <c r="AX86" t="inlineStr">
        <is>
          <t>991001790139702656</t>
        </is>
      </c>
      <c r="AY86" t="inlineStr">
        <is>
          <t>2266535100002656</t>
        </is>
      </c>
      <c r="AZ86" t="inlineStr">
        <is>
          <t>BOOK</t>
        </is>
      </c>
      <c r="BB86" t="inlineStr">
        <is>
          <t>9780915807024</t>
        </is>
      </c>
      <c r="BC86" t="inlineStr">
        <is>
          <t>32285001921278</t>
        </is>
      </c>
      <c r="BD86" t="inlineStr">
        <is>
          <t>893497378</t>
        </is>
      </c>
    </row>
    <row r="87">
      <c r="A87" t="inlineStr">
        <is>
          <t>No</t>
        </is>
      </c>
      <c r="B87" t="inlineStr">
        <is>
          <t>TT305 .C29 1996</t>
        </is>
      </c>
      <c r="C87" t="inlineStr">
        <is>
          <t>0                      TT 0305000C  29          1996</t>
        </is>
      </c>
      <c r="D87" t="inlineStr">
        <is>
          <t>The complete book of paint : a comprehensive guide to paint techniques for walls, floors, furniture, fabrics, and metalwork / by David Carter; text by Charles Hemming.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No</t>
        </is>
      </c>
      <c r="J87" t="inlineStr">
        <is>
          <t>0</t>
        </is>
      </c>
      <c r="K87" t="inlineStr">
        <is>
          <t>Carter, David.</t>
        </is>
      </c>
      <c r="L87" t="inlineStr">
        <is>
          <t>New York : Clarkson Potter/Publishers, c1996.</t>
        </is>
      </c>
      <c r="M87" t="inlineStr">
        <is>
          <t>1996</t>
        </is>
      </c>
      <c r="N87" t="inlineStr">
        <is>
          <t>1st American ed.</t>
        </is>
      </c>
      <c r="O87" t="inlineStr">
        <is>
          <t>eng</t>
        </is>
      </c>
      <c r="P87" t="inlineStr">
        <is>
          <t>nyu</t>
        </is>
      </c>
      <c r="R87" t="inlineStr">
        <is>
          <t xml:space="preserve">TT </t>
        </is>
      </c>
      <c r="S87" t="n">
        <v>3</v>
      </c>
      <c r="T87" t="n">
        <v>3</v>
      </c>
      <c r="U87" t="inlineStr">
        <is>
          <t>2000-01-11</t>
        </is>
      </c>
      <c r="V87" t="inlineStr">
        <is>
          <t>2000-01-11</t>
        </is>
      </c>
      <c r="W87" t="inlineStr">
        <is>
          <t>1998-11-04</t>
        </is>
      </c>
      <c r="X87" t="inlineStr">
        <is>
          <t>1998-11-04</t>
        </is>
      </c>
      <c r="Y87" t="n">
        <v>274</v>
      </c>
      <c r="Z87" t="n">
        <v>257</v>
      </c>
      <c r="AA87" t="n">
        <v>489</v>
      </c>
      <c r="AB87" t="n">
        <v>2</v>
      </c>
      <c r="AC87" t="n">
        <v>3</v>
      </c>
      <c r="AD87" t="n">
        <v>1</v>
      </c>
      <c r="AE87" t="n">
        <v>1</v>
      </c>
      <c r="AF87" t="n">
        <v>0</v>
      </c>
      <c r="AG87" t="n">
        <v>0</v>
      </c>
      <c r="AH87" t="n">
        <v>0</v>
      </c>
      <c r="AI87" t="n">
        <v>0</v>
      </c>
      <c r="AJ87" t="n">
        <v>0</v>
      </c>
      <c r="AK87" t="n">
        <v>0</v>
      </c>
      <c r="AL87" t="n">
        <v>1</v>
      </c>
      <c r="AM87" t="n">
        <v>1</v>
      </c>
      <c r="AN87" t="n">
        <v>0</v>
      </c>
      <c r="AO87" t="n">
        <v>0</v>
      </c>
      <c r="AP87" t="inlineStr">
        <is>
          <t>No</t>
        </is>
      </c>
      <c r="AQ87" t="inlineStr">
        <is>
          <t>No</t>
        </is>
      </c>
      <c r="AS87">
        <f>HYPERLINK("https://creighton-primo.hosted.exlibrisgroup.com/primo-explore/search?tab=default_tab&amp;search_scope=EVERYTHING&amp;vid=01CRU&amp;lang=en_US&amp;offset=0&amp;query=any,contains,991002609279702656","Catalog Record")</f>
        <v/>
      </c>
      <c r="AT87">
        <f>HYPERLINK("http://www.worldcat.org/oclc/34190529","WorldCat Record")</f>
        <v/>
      </c>
      <c r="AU87" t="inlineStr">
        <is>
          <t>7836809:eng</t>
        </is>
      </c>
      <c r="AV87" t="inlineStr">
        <is>
          <t>34190529</t>
        </is>
      </c>
      <c r="AW87" t="inlineStr">
        <is>
          <t>991002609279702656</t>
        </is>
      </c>
      <c r="AX87" t="inlineStr">
        <is>
          <t>991002609279702656</t>
        </is>
      </c>
      <c r="AY87" t="inlineStr">
        <is>
          <t>2256415290002656</t>
        </is>
      </c>
      <c r="AZ87" t="inlineStr">
        <is>
          <t>BOOK</t>
        </is>
      </c>
      <c r="BB87" t="inlineStr">
        <is>
          <t>9780517704516</t>
        </is>
      </c>
      <c r="BC87" t="inlineStr">
        <is>
          <t>32285003485355</t>
        </is>
      </c>
      <c r="BD87" t="inlineStr">
        <is>
          <t>893409310</t>
        </is>
      </c>
    </row>
    <row r="88">
      <c r="A88" t="inlineStr">
        <is>
          <t>No</t>
        </is>
      </c>
      <c r="B88" t="inlineStr">
        <is>
          <t>TT320 .T55 1976</t>
        </is>
      </c>
      <c r="C88" t="inlineStr">
        <is>
          <t>0                      TT 0320000T  55          1976</t>
        </is>
      </c>
      <c r="D88" t="inlineStr">
        <is>
          <t>Paint and wallpaper / by the editors of Time-Life Books.</t>
        </is>
      </c>
      <c r="F88" t="inlineStr">
        <is>
          <t>No</t>
        </is>
      </c>
      <c r="G88" t="inlineStr">
        <is>
          <t>1</t>
        </is>
      </c>
      <c r="H88" t="inlineStr">
        <is>
          <t>No</t>
        </is>
      </c>
      <c r="I88" t="inlineStr">
        <is>
          <t>No</t>
        </is>
      </c>
      <c r="J88" t="inlineStr">
        <is>
          <t>0</t>
        </is>
      </c>
      <c r="K88" t="inlineStr">
        <is>
          <t>Time-Life Books.</t>
        </is>
      </c>
      <c r="L88" t="inlineStr">
        <is>
          <t>New York : Time-Life Books, c1976.</t>
        </is>
      </c>
      <c r="M88" t="inlineStr">
        <is>
          <t>1976</t>
        </is>
      </c>
      <c r="O88" t="inlineStr">
        <is>
          <t>eng</t>
        </is>
      </c>
      <c r="P88" t="inlineStr">
        <is>
          <t>nyu</t>
        </is>
      </c>
      <c r="Q88" t="inlineStr">
        <is>
          <t>Home repair and improvement</t>
        </is>
      </c>
      <c r="R88" t="inlineStr">
        <is>
          <t xml:space="preserve">TT </t>
        </is>
      </c>
      <c r="S88" t="n">
        <v>8</v>
      </c>
      <c r="T88" t="n">
        <v>8</v>
      </c>
      <c r="U88" t="inlineStr">
        <is>
          <t>2004-10-06</t>
        </is>
      </c>
      <c r="V88" t="inlineStr">
        <is>
          <t>2004-10-06</t>
        </is>
      </c>
      <c r="W88" t="inlineStr">
        <is>
          <t>1993-08-03</t>
        </is>
      </c>
      <c r="X88" t="inlineStr">
        <is>
          <t>1993-08-03</t>
        </is>
      </c>
      <c r="Y88" t="n">
        <v>731</v>
      </c>
      <c r="Z88" t="n">
        <v>707</v>
      </c>
      <c r="AA88" t="n">
        <v>1345</v>
      </c>
      <c r="AB88" t="n">
        <v>6</v>
      </c>
      <c r="AC88" t="n">
        <v>13</v>
      </c>
      <c r="AD88" t="n">
        <v>0</v>
      </c>
      <c r="AE88" t="n">
        <v>3</v>
      </c>
      <c r="AF88" t="n">
        <v>0</v>
      </c>
      <c r="AG88" t="n">
        <v>1</v>
      </c>
      <c r="AH88" t="n">
        <v>0</v>
      </c>
      <c r="AI88" t="n">
        <v>1</v>
      </c>
      <c r="AJ88" t="n">
        <v>0</v>
      </c>
      <c r="AK88" t="n">
        <v>0</v>
      </c>
      <c r="AL88" t="n">
        <v>0</v>
      </c>
      <c r="AM88" t="n">
        <v>1</v>
      </c>
      <c r="AN88" t="n">
        <v>0</v>
      </c>
      <c r="AO88" t="n">
        <v>0</v>
      </c>
      <c r="AP88" t="inlineStr">
        <is>
          <t>No</t>
        </is>
      </c>
      <c r="AQ88" t="inlineStr">
        <is>
          <t>Yes</t>
        </is>
      </c>
      <c r="AR88">
        <f>HYPERLINK("http://catalog.hathitrust.org/Record/005209782","HathiTrust Record")</f>
        <v/>
      </c>
      <c r="AS88">
        <f>HYPERLINK("https://creighton-primo.hosted.exlibrisgroup.com/primo-explore/search?tab=default_tab&amp;search_scope=EVERYTHING&amp;vid=01CRU&amp;lang=en_US&amp;offset=0&amp;query=any,contains,991004090149702656","Catalog Record")</f>
        <v/>
      </c>
      <c r="AT88">
        <f>HYPERLINK("http://www.worldcat.org/oclc/2343944","WorldCat Record")</f>
        <v/>
      </c>
      <c r="AU88" t="inlineStr">
        <is>
          <t>502631493:eng</t>
        </is>
      </c>
      <c r="AV88" t="inlineStr">
        <is>
          <t>2343944</t>
        </is>
      </c>
      <c r="AW88" t="inlineStr">
        <is>
          <t>991004090149702656</t>
        </is>
      </c>
      <c r="AX88" t="inlineStr">
        <is>
          <t>991004090149702656</t>
        </is>
      </c>
      <c r="AY88" t="inlineStr">
        <is>
          <t>2262060430002656</t>
        </is>
      </c>
      <c r="AZ88" t="inlineStr">
        <is>
          <t>BOOK</t>
        </is>
      </c>
      <c r="BC88" t="inlineStr">
        <is>
          <t>32285001748879</t>
        </is>
      </c>
      <c r="BD88" t="inlineStr">
        <is>
          <t>893900784</t>
        </is>
      </c>
    </row>
    <row r="89">
      <c r="A89" t="inlineStr">
        <is>
          <t>No</t>
        </is>
      </c>
      <c r="B89" t="inlineStr">
        <is>
          <t>TT385 .G78 1992</t>
        </is>
      </c>
      <c r="C89" t="inlineStr">
        <is>
          <t>0                      TT 0385000G  78          1992</t>
        </is>
      </c>
      <c r="D89" t="inlineStr">
        <is>
          <t>Techniques for marbleizing paper / Gabriele Grünebaum.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K89" t="inlineStr">
        <is>
          <t>Grünebaum, Gabriele.</t>
        </is>
      </c>
      <c r="L89" t="inlineStr">
        <is>
          <t>New York : Dover Publications, 1992.</t>
        </is>
      </c>
      <c r="M89" t="inlineStr">
        <is>
          <t>1992</t>
        </is>
      </c>
      <c r="O89" t="inlineStr">
        <is>
          <t>eng</t>
        </is>
      </c>
      <c r="P89" t="inlineStr">
        <is>
          <t>nyu</t>
        </is>
      </c>
      <c r="R89" t="inlineStr">
        <is>
          <t xml:space="preserve">TT </t>
        </is>
      </c>
      <c r="S89" t="n">
        <v>0</v>
      </c>
      <c r="T89" t="n">
        <v>0</v>
      </c>
      <c r="U89" t="inlineStr">
        <is>
          <t>2006-04-28</t>
        </is>
      </c>
      <c r="V89" t="inlineStr">
        <is>
          <t>2006-04-28</t>
        </is>
      </c>
      <c r="W89" t="inlineStr">
        <is>
          <t>1997-02-27</t>
        </is>
      </c>
      <c r="X89" t="inlineStr">
        <is>
          <t>1997-02-27</t>
        </is>
      </c>
      <c r="Y89" t="n">
        <v>64</v>
      </c>
      <c r="Z89" t="n">
        <v>48</v>
      </c>
      <c r="AA89" t="n">
        <v>66</v>
      </c>
      <c r="AB89" t="n">
        <v>1</v>
      </c>
      <c r="AC89" t="n">
        <v>2</v>
      </c>
      <c r="AD89" t="n">
        <v>1</v>
      </c>
      <c r="AE89" t="n">
        <v>3</v>
      </c>
      <c r="AF89" t="n">
        <v>0</v>
      </c>
      <c r="AG89" t="n">
        <v>1</v>
      </c>
      <c r="AH89" t="n">
        <v>1</v>
      </c>
      <c r="AI89" t="n">
        <v>2</v>
      </c>
      <c r="AJ89" t="n">
        <v>0</v>
      </c>
      <c r="AK89" t="n">
        <v>0</v>
      </c>
      <c r="AL89" t="n">
        <v>0</v>
      </c>
      <c r="AM89" t="n">
        <v>1</v>
      </c>
      <c r="AN89" t="n">
        <v>0</v>
      </c>
      <c r="AO89" t="n">
        <v>0</v>
      </c>
      <c r="AP89" t="inlineStr">
        <is>
          <t>No</t>
        </is>
      </c>
      <c r="AQ89" t="inlineStr">
        <is>
          <t>No</t>
        </is>
      </c>
      <c r="AS89">
        <f>HYPERLINK("https://creighton-primo.hosted.exlibrisgroup.com/primo-explore/search?tab=default_tab&amp;search_scope=EVERYTHING&amp;vid=01CRU&amp;lang=en_US&amp;offset=0&amp;query=any,contains,991002107199702656","Catalog Record")</f>
        <v/>
      </c>
      <c r="AT89">
        <f>HYPERLINK("http://www.worldcat.org/oclc/27018984","WorldCat Record")</f>
        <v/>
      </c>
      <c r="AU89" t="inlineStr">
        <is>
          <t>29479791:eng</t>
        </is>
      </c>
      <c r="AV89" t="inlineStr">
        <is>
          <t>27018984</t>
        </is>
      </c>
      <c r="AW89" t="inlineStr">
        <is>
          <t>991002107199702656</t>
        </is>
      </c>
      <c r="AX89" t="inlineStr">
        <is>
          <t>991002107199702656</t>
        </is>
      </c>
      <c r="AY89" t="inlineStr">
        <is>
          <t>2255664120002656</t>
        </is>
      </c>
      <c r="AZ89" t="inlineStr">
        <is>
          <t>BOOK</t>
        </is>
      </c>
      <c r="BB89" t="inlineStr">
        <is>
          <t>9780486271569</t>
        </is>
      </c>
      <c r="BC89" t="inlineStr">
        <is>
          <t>32285002434099</t>
        </is>
      </c>
      <c r="BD89" t="inlineStr">
        <is>
          <t>893226470</t>
        </is>
      </c>
    </row>
    <row r="90">
      <c r="A90" t="inlineStr">
        <is>
          <t>No</t>
        </is>
      </c>
      <c r="B90" t="inlineStr">
        <is>
          <t>TT387 .D44 1995</t>
        </is>
      </c>
      <c r="C90" t="inlineStr">
        <is>
          <t>0                      TT 0387000D  44          1995</t>
        </is>
      </c>
      <c r="D90" t="inlineStr">
        <is>
          <t>Decorating with fabric &amp; wallcovering : 98 projects &amp; ideas / The Home Decorating Institute.</t>
        </is>
      </c>
      <c r="F90" t="inlineStr">
        <is>
          <t>No</t>
        </is>
      </c>
      <c r="G90" t="inlineStr">
        <is>
          <t>1</t>
        </is>
      </c>
      <c r="H90" t="inlineStr">
        <is>
          <t>No</t>
        </is>
      </c>
      <c r="I90" t="inlineStr">
        <is>
          <t>No</t>
        </is>
      </c>
      <c r="J90" t="inlineStr">
        <is>
          <t>0</t>
        </is>
      </c>
      <c r="L90" t="inlineStr">
        <is>
          <t>Minnetonka, Minn. : Cy DeCosse, c1995.</t>
        </is>
      </c>
      <c r="M90" t="inlineStr">
        <is>
          <t>1995</t>
        </is>
      </c>
      <c r="O90" t="inlineStr">
        <is>
          <t>eng</t>
        </is>
      </c>
      <c r="P90" t="inlineStr">
        <is>
          <t>mnu</t>
        </is>
      </c>
      <c r="Q90" t="inlineStr">
        <is>
          <t>Arts &amp; crafts for home decorating</t>
        </is>
      </c>
      <c r="R90" t="inlineStr">
        <is>
          <t xml:space="preserve">TT </t>
        </is>
      </c>
      <c r="S90" t="n">
        <v>9</v>
      </c>
      <c r="T90" t="n">
        <v>9</v>
      </c>
      <c r="U90" t="inlineStr">
        <is>
          <t>2002-06-26</t>
        </is>
      </c>
      <c r="V90" t="inlineStr">
        <is>
          <t>2002-06-26</t>
        </is>
      </c>
      <c r="W90" t="inlineStr">
        <is>
          <t>1997-03-04</t>
        </is>
      </c>
      <c r="X90" t="inlineStr">
        <is>
          <t>1997-03-04</t>
        </is>
      </c>
      <c r="Y90" t="n">
        <v>317</v>
      </c>
      <c r="Z90" t="n">
        <v>291</v>
      </c>
      <c r="AA90" t="n">
        <v>297</v>
      </c>
      <c r="AB90" t="n">
        <v>5</v>
      </c>
      <c r="AC90" t="n">
        <v>5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  <c r="AJ90" t="n">
        <v>0</v>
      </c>
      <c r="AK90" t="n">
        <v>0</v>
      </c>
      <c r="AL90" t="n">
        <v>0</v>
      </c>
      <c r="AM90" t="n">
        <v>0</v>
      </c>
      <c r="AN90" t="n">
        <v>0</v>
      </c>
      <c r="AO90" t="n">
        <v>0</v>
      </c>
      <c r="AP90" t="inlineStr">
        <is>
          <t>No</t>
        </is>
      </c>
      <c r="AQ90" t="inlineStr">
        <is>
          <t>No</t>
        </is>
      </c>
      <c r="AS90">
        <f>HYPERLINK("https://creighton-primo.hosted.exlibrisgroup.com/primo-explore/search?tab=default_tab&amp;search_scope=EVERYTHING&amp;vid=01CRU&amp;lang=en_US&amp;offset=0&amp;query=any,contains,991002396609702656","Catalog Record")</f>
        <v/>
      </c>
      <c r="AT90">
        <f>HYPERLINK("http://www.worldcat.org/oclc/31133035","WorldCat Record")</f>
        <v/>
      </c>
      <c r="AU90" t="inlineStr">
        <is>
          <t>33239494:eng</t>
        </is>
      </c>
      <c r="AV90" t="inlineStr">
        <is>
          <t>31133035</t>
        </is>
      </c>
      <c r="AW90" t="inlineStr">
        <is>
          <t>991002396609702656</t>
        </is>
      </c>
      <c r="AX90" t="inlineStr">
        <is>
          <t>991002396609702656</t>
        </is>
      </c>
      <c r="AY90" t="inlineStr">
        <is>
          <t>2271424890002656</t>
        </is>
      </c>
      <c r="AZ90" t="inlineStr">
        <is>
          <t>BOOK</t>
        </is>
      </c>
      <c r="BB90" t="inlineStr">
        <is>
          <t>9780865733718</t>
        </is>
      </c>
      <c r="BC90" t="inlineStr">
        <is>
          <t>32285002434420</t>
        </is>
      </c>
      <c r="BD90" t="inlineStr">
        <is>
          <t>893322883</t>
        </is>
      </c>
    </row>
    <row r="91">
      <c r="A91" t="inlineStr">
        <is>
          <t>No</t>
        </is>
      </c>
      <c r="B91" t="inlineStr">
        <is>
          <t>TT496.I82 F574 2002</t>
        </is>
      </c>
      <c r="C91" t="inlineStr">
        <is>
          <t>0                      TT 0496000I  82                 F  574         2002</t>
        </is>
      </c>
      <c r="D91" t="inlineStr">
        <is>
          <t>Dressing Renaissance Florence : families, fortunes, &amp; fine clothing / Carole Collier Frick.</t>
        </is>
      </c>
      <c r="F91" t="inlineStr">
        <is>
          <t>No</t>
        </is>
      </c>
      <c r="G91" t="inlineStr">
        <is>
          <t>1</t>
        </is>
      </c>
      <c r="H91" t="inlineStr">
        <is>
          <t>No</t>
        </is>
      </c>
      <c r="I91" t="inlineStr">
        <is>
          <t>No</t>
        </is>
      </c>
      <c r="J91" t="inlineStr">
        <is>
          <t>0</t>
        </is>
      </c>
      <c r="K91" t="inlineStr">
        <is>
          <t>Frick, Carole Collier.</t>
        </is>
      </c>
      <c r="L91" t="inlineStr">
        <is>
          <t>Baltimore : Johns Hopkins University Press, 2002.</t>
        </is>
      </c>
      <c r="M91" t="inlineStr">
        <is>
          <t>2002</t>
        </is>
      </c>
      <c r="O91" t="inlineStr">
        <is>
          <t>eng</t>
        </is>
      </c>
      <c r="P91" t="inlineStr">
        <is>
          <t>mdu</t>
        </is>
      </c>
      <c r="Q91" t="inlineStr">
        <is>
          <t>The Johns Hopkins University studies in historical and political science ; 120th ser., 3</t>
        </is>
      </c>
      <c r="R91" t="inlineStr">
        <is>
          <t xml:space="preserve">TT </t>
        </is>
      </c>
      <c r="S91" t="n">
        <v>7</v>
      </c>
      <c r="T91" t="n">
        <v>7</v>
      </c>
      <c r="U91" t="inlineStr">
        <is>
          <t>2009-04-08</t>
        </is>
      </c>
      <c r="V91" t="inlineStr">
        <is>
          <t>2009-04-08</t>
        </is>
      </c>
      <c r="W91" t="inlineStr">
        <is>
          <t>2002-10-17</t>
        </is>
      </c>
      <c r="X91" t="inlineStr">
        <is>
          <t>2002-10-17</t>
        </is>
      </c>
      <c r="Y91" t="n">
        <v>436</v>
      </c>
      <c r="Z91" t="n">
        <v>348</v>
      </c>
      <c r="AA91" t="n">
        <v>393</v>
      </c>
      <c r="AB91" t="n">
        <v>2</v>
      </c>
      <c r="AC91" t="n">
        <v>3</v>
      </c>
      <c r="AD91" t="n">
        <v>19</v>
      </c>
      <c r="AE91" t="n">
        <v>21</v>
      </c>
      <c r="AF91" t="n">
        <v>7</v>
      </c>
      <c r="AG91" t="n">
        <v>8</v>
      </c>
      <c r="AH91" t="n">
        <v>7</v>
      </c>
      <c r="AI91" t="n">
        <v>8</v>
      </c>
      <c r="AJ91" t="n">
        <v>11</v>
      </c>
      <c r="AK91" t="n">
        <v>11</v>
      </c>
      <c r="AL91" t="n">
        <v>1</v>
      </c>
      <c r="AM91" t="n">
        <v>2</v>
      </c>
      <c r="AN91" t="n">
        <v>0</v>
      </c>
      <c r="AO91" t="n">
        <v>0</v>
      </c>
      <c r="AP91" t="inlineStr">
        <is>
          <t>No</t>
        </is>
      </c>
      <c r="AQ91" t="inlineStr">
        <is>
          <t>Yes</t>
        </is>
      </c>
      <c r="AR91">
        <f>HYPERLINK("http://catalog.hathitrust.org/Record/004290192","HathiTrust Record")</f>
        <v/>
      </c>
      <c r="AS91">
        <f>HYPERLINK("https://creighton-primo.hosted.exlibrisgroup.com/primo-explore/search?tab=default_tab&amp;search_scope=EVERYTHING&amp;vid=01CRU&amp;lang=en_US&amp;offset=0&amp;query=any,contains,991003918729702656","Catalog Record")</f>
        <v/>
      </c>
      <c r="AT91">
        <f>HYPERLINK("http://www.worldcat.org/oclc/48221346","WorldCat Record")</f>
        <v/>
      </c>
      <c r="AU91" t="inlineStr">
        <is>
          <t>892126037:eng</t>
        </is>
      </c>
      <c r="AV91" t="inlineStr">
        <is>
          <t>48221346</t>
        </is>
      </c>
      <c r="AW91" t="inlineStr">
        <is>
          <t>991003918729702656</t>
        </is>
      </c>
      <c r="AX91" t="inlineStr">
        <is>
          <t>991003918729702656</t>
        </is>
      </c>
      <c r="AY91" t="inlineStr">
        <is>
          <t>2255123380002656</t>
        </is>
      </c>
      <c r="AZ91" t="inlineStr">
        <is>
          <t>BOOK</t>
        </is>
      </c>
      <c r="BB91" t="inlineStr">
        <is>
          <t>9780801869396</t>
        </is>
      </c>
      <c r="BC91" t="inlineStr">
        <is>
          <t>32285004655675</t>
        </is>
      </c>
      <c r="BD91" t="inlineStr">
        <is>
          <t>893806427</t>
        </is>
      </c>
    </row>
    <row r="92">
      <c r="A92" t="inlineStr">
        <is>
          <t>No</t>
        </is>
      </c>
      <c r="B92" t="inlineStr">
        <is>
          <t>TT497 .H36 1999</t>
        </is>
      </c>
      <c r="C92" t="inlineStr">
        <is>
          <t>0                      TT 0497000H  36          1999</t>
        </is>
      </c>
      <c r="D92" t="inlineStr">
        <is>
          <t>Nylon : the story of a fashion revolution : a celebration of design from art silk to nylon and thinking fibres / Susannah Handley.</t>
        </is>
      </c>
      <c r="F92" t="inlineStr">
        <is>
          <t>No</t>
        </is>
      </c>
      <c r="G92" t="inlineStr">
        <is>
          <t>1</t>
        </is>
      </c>
      <c r="H92" t="inlineStr">
        <is>
          <t>No</t>
        </is>
      </c>
      <c r="I92" t="inlineStr">
        <is>
          <t>No</t>
        </is>
      </c>
      <c r="J92" t="inlineStr">
        <is>
          <t>0</t>
        </is>
      </c>
      <c r="K92" t="inlineStr">
        <is>
          <t>Handley, Susannah.</t>
        </is>
      </c>
      <c r="L92" t="inlineStr">
        <is>
          <t>Baltimore, Md : Johns Hopkins University Press, 1999.</t>
        </is>
      </c>
      <c r="M92" t="inlineStr">
        <is>
          <t>1999</t>
        </is>
      </c>
      <c r="O92" t="inlineStr">
        <is>
          <t>eng</t>
        </is>
      </c>
      <c r="P92" t="inlineStr">
        <is>
          <t>mdu</t>
        </is>
      </c>
      <c r="R92" t="inlineStr">
        <is>
          <t xml:space="preserve">TT </t>
        </is>
      </c>
      <c r="S92" t="n">
        <v>2</v>
      </c>
      <c r="T92" t="n">
        <v>2</v>
      </c>
      <c r="U92" t="inlineStr">
        <is>
          <t>2001-08-14</t>
        </is>
      </c>
      <c r="V92" t="inlineStr">
        <is>
          <t>2001-08-14</t>
        </is>
      </c>
      <c r="W92" t="inlineStr">
        <is>
          <t>2001-08-14</t>
        </is>
      </c>
      <c r="X92" t="inlineStr">
        <is>
          <t>2001-08-14</t>
        </is>
      </c>
      <c r="Y92" t="n">
        <v>644</v>
      </c>
      <c r="Z92" t="n">
        <v>561</v>
      </c>
      <c r="AA92" t="n">
        <v>566</v>
      </c>
      <c r="AB92" t="n">
        <v>4</v>
      </c>
      <c r="AC92" t="n">
        <v>4</v>
      </c>
      <c r="AD92" t="n">
        <v>13</v>
      </c>
      <c r="AE92" t="n">
        <v>13</v>
      </c>
      <c r="AF92" t="n">
        <v>3</v>
      </c>
      <c r="AG92" t="n">
        <v>3</v>
      </c>
      <c r="AH92" t="n">
        <v>4</v>
      </c>
      <c r="AI92" t="n">
        <v>4</v>
      </c>
      <c r="AJ92" t="n">
        <v>5</v>
      </c>
      <c r="AK92" t="n">
        <v>5</v>
      </c>
      <c r="AL92" t="n">
        <v>3</v>
      </c>
      <c r="AM92" t="n">
        <v>3</v>
      </c>
      <c r="AN92" t="n">
        <v>0</v>
      </c>
      <c r="AO92" t="n">
        <v>0</v>
      </c>
      <c r="AP92" t="inlineStr">
        <is>
          <t>No</t>
        </is>
      </c>
      <c r="AQ92" t="inlineStr">
        <is>
          <t>No</t>
        </is>
      </c>
      <c r="AS92">
        <f>HYPERLINK("https://creighton-primo.hosted.exlibrisgroup.com/primo-explore/search?tab=default_tab&amp;search_scope=EVERYTHING&amp;vid=01CRU&amp;lang=en_US&amp;offset=0&amp;query=any,contains,991003597119702656","Catalog Record")</f>
        <v/>
      </c>
      <c r="AT92">
        <f>HYPERLINK("http://www.worldcat.org/oclc/41488728","WorldCat Record")</f>
        <v/>
      </c>
      <c r="AU92" t="inlineStr">
        <is>
          <t>3856781514:eng</t>
        </is>
      </c>
      <c r="AV92" t="inlineStr">
        <is>
          <t>41488728</t>
        </is>
      </c>
      <c r="AW92" t="inlineStr">
        <is>
          <t>991003597119702656</t>
        </is>
      </c>
      <c r="AX92" t="inlineStr">
        <is>
          <t>991003597119702656</t>
        </is>
      </c>
      <c r="AY92" t="inlineStr">
        <is>
          <t>2257733880002656</t>
        </is>
      </c>
      <c r="AZ92" t="inlineStr">
        <is>
          <t>BOOK</t>
        </is>
      </c>
      <c r="BB92" t="inlineStr">
        <is>
          <t>9780801863257</t>
        </is>
      </c>
      <c r="BC92" t="inlineStr">
        <is>
          <t>32285004377494</t>
        </is>
      </c>
      <c r="BD92" t="inlineStr">
        <is>
          <t>893900153</t>
        </is>
      </c>
    </row>
    <row r="93">
      <c r="A93" t="inlineStr">
        <is>
          <t>No</t>
        </is>
      </c>
      <c r="B93" t="inlineStr">
        <is>
          <t>TT503 .B33 1995</t>
        </is>
      </c>
      <c r="C93" t="inlineStr">
        <is>
          <t>0                      TT 0503000B  33          1995</t>
        </is>
      </c>
      <c r="D93" t="inlineStr">
        <is>
          <t>The guide to historic costume / Karen Baclawski ; with a foreword by Negley Harte.</t>
        </is>
      </c>
      <c r="F93" t="inlineStr">
        <is>
          <t>No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K93" t="inlineStr">
        <is>
          <t>Baclawski, Karen.</t>
        </is>
      </c>
      <c r="L93" t="inlineStr">
        <is>
          <t>New York : Drama Book Publishers, 1995.</t>
        </is>
      </c>
      <c r="M93" t="inlineStr">
        <is>
          <t>1995</t>
        </is>
      </c>
      <c r="O93" t="inlineStr">
        <is>
          <t>eng</t>
        </is>
      </c>
      <c r="P93" t="inlineStr">
        <is>
          <t>nyu</t>
        </is>
      </c>
      <c r="R93" t="inlineStr">
        <is>
          <t xml:space="preserve">TT </t>
        </is>
      </c>
      <c r="S93" t="n">
        <v>11</v>
      </c>
      <c r="T93" t="n">
        <v>11</v>
      </c>
      <c r="U93" t="inlineStr">
        <is>
          <t>2002-06-26</t>
        </is>
      </c>
      <c r="V93" t="inlineStr">
        <is>
          <t>2002-06-26</t>
        </is>
      </c>
      <c r="W93" t="inlineStr">
        <is>
          <t>1998-05-29</t>
        </is>
      </c>
      <c r="X93" t="inlineStr">
        <is>
          <t>1998-05-29</t>
        </is>
      </c>
      <c r="Y93" t="n">
        <v>526</v>
      </c>
      <c r="Z93" t="n">
        <v>496</v>
      </c>
      <c r="AA93" t="n">
        <v>574</v>
      </c>
      <c r="AB93" t="n">
        <v>4</v>
      </c>
      <c r="AC93" t="n">
        <v>6</v>
      </c>
      <c r="AD93" t="n">
        <v>21</v>
      </c>
      <c r="AE93" t="n">
        <v>24</v>
      </c>
      <c r="AF93" t="n">
        <v>10</v>
      </c>
      <c r="AG93" t="n">
        <v>10</v>
      </c>
      <c r="AH93" t="n">
        <v>6</v>
      </c>
      <c r="AI93" t="n">
        <v>6</v>
      </c>
      <c r="AJ93" t="n">
        <v>7</v>
      </c>
      <c r="AK93" t="n">
        <v>9</v>
      </c>
      <c r="AL93" t="n">
        <v>2</v>
      </c>
      <c r="AM93" t="n">
        <v>3</v>
      </c>
      <c r="AN93" t="n">
        <v>0</v>
      </c>
      <c r="AO93" t="n">
        <v>0</v>
      </c>
      <c r="AP93" t="inlineStr">
        <is>
          <t>No</t>
        </is>
      </c>
      <c r="AQ93" t="inlineStr">
        <is>
          <t>No</t>
        </is>
      </c>
      <c r="AS93">
        <f>HYPERLINK("https://creighton-primo.hosted.exlibrisgroup.com/primo-explore/search?tab=default_tab&amp;search_scope=EVERYTHING&amp;vid=01CRU&amp;lang=en_US&amp;offset=0&amp;query=any,contains,991002471459702656","Catalog Record")</f>
        <v/>
      </c>
      <c r="AT93">
        <f>HYPERLINK("http://www.worldcat.org/oclc/32190392","WorldCat Record")</f>
        <v/>
      </c>
      <c r="AU93" t="inlineStr">
        <is>
          <t>20704976:eng</t>
        </is>
      </c>
      <c r="AV93" t="inlineStr">
        <is>
          <t>32190392</t>
        </is>
      </c>
      <c r="AW93" t="inlineStr">
        <is>
          <t>991002471459702656</t>
        </is>
      </c>
      <c r="AX93" t="inlineStr">
        <is>
          <t>991002471459702656</t>
        </is>
      </c>
      <c r="AY93" t="inlineStr">
        <is>
          <t>2262374990002656</t>
        </is>
      </c>
      <c r="AZ93" t="inlineStr">
        <is>
          <t>BOOK</t>
        </is>
      </c>
      <c r="BB93" t="inlineStr">
        <is>
          <t>9780896761377</t>
        </is>
      </c>
      <c r="BC93" t="inlineStr">
        <is>
          <t>32285003261566</t>
        </is>
      </c>
      <c r="BD93" t="inlineStr">
        <is>
          <t>893873563</t>
        </is>
      </c>
    </row>
    <row r="94">
      <c r="A94" t="inlineStr">
        <is>
          <t>No</t>
        </is>
      </c>
      <c r="B94" t="inlineStr">
        <is>
          <t>TT504 .B68 1985</t>
        </is>
      </c>
      <c r="C94" t="inlineStr">
        <is>
          <t>0                      TT 0504000B  68          1985</t>
        </is>
      </c>
      <c r="D94" t="inlineStr">
        <is>
          <t>A fashion for extravagance : art deco fabrics and fashions / Sara Bowman, Michel Molinare.</t>
        </is>
      </c>
      <c r="F94" t="inlineStr">
        <is>
          <t>No</t>
        </is>
      </c>
      <c r="G94" t="inlineStr">
        <is>
          <t>1</t>
        </is>
      </c>
      <c r="H94" t="inlineStr">
        <is>
          <t>No</t>
        </is>
      </c>
      <c r="I94" t="inlineStr">
        <is>
          <t>No</t>
        </is>
      </c>
      <c r="J94" t="inlineStr">
        <is>
          <t>0</t>
        </is>
      </c>
      <c r="K94" t="inlineStr">
        <is>
          <t>Bowman, Sara.</t>
        </is>
      </c>
      <c r="L94" t="inlineStr">
        <is>
          <t>New York : Dutton, 1985.</t>
        </is>
      </c>
      <c r="M94" t="inlineStr">
        <is>
          <t>1985</t>
        </is>
      </c>
      <c r="N94" t="inlineStr">
        <is>
          <t>1st ed.</t>
        </is>
      </c>
      <c r="O94" t="inlineStr">
        <is>
          <t>eng</t>
        </is>
      </c>
      <c r="P94" t="inlineStr">
        <is>
          <t>nyu</t>
        </is>
      </c>
      <c r="R94" t="inlineStr">
        <is>
          <t xml:space="preserve">TT </t>
        </is>
      </c>
      <c r="S94" t="n">
        <v>9</v>
      </c>
      <c r="T94" t="n">
        <v>9</v>
      </c>
      <c r="U94" t="inlineStr">
        <is>
          <t>2000-05-30</t>
        </is>
      </c>
      <c r="V94" t="inlineStr">
        <is>
          <t>2000-05-30</t>
        </is>
      </c>
      <c r="W94" t="inlineStr">
        <is>
          <t>1990-02-21</t>
        </is>
      </c>
      <c r="X94" t="inlineStr">
        <is>
          <t>1990-02-21</t>
        </is>
      </c>
      <c r="Y94" t="n">
        <v>123</v>
      </c>
      <c r="Z94" t="n">
        <v>94</v>
      </c>
      <c r="AA94" t="n">
        <v>233</v>
      </c>
      <c r="AB94" t="n">
        <v>1</v>
      </c>
      <c r="AC94" t="n">
        <v>1</v>
      </c>
      <c r="AD94" t="n">
        <v>1</v>
      </c>
      <c r="AE94" t="n">
        <v>6</v>
      </c>
      <c r="AF94" t="n">
        <v>0</v>
      </c>
      <c r="AG94" t="n">
        <v>3</v>
      </c>
      <c r="AH94" t="n">
        <v>0</v>
      </c>
      <c r="AI94" t="n">
        <v>1</v>
      </c>
      <c r="AJ94" t="n">
        <v>1</v>
      </c>
      <c r="AK94" t="n">
        <v>3</v>
      </c>
      <c r="AL94" t="n">
        <v>0</v>
      </c>
      <c r="AM94" t="n">
        <v>0</v>
      </c>
      <c r="AN94" t="n">
        <v>0</v>
      </c>
      <c r="AO94" t="n">
        <v>0</v>
      </c>
      <c r="AP94" t="inlineStr">
        <is>
          <t>No</t>
        </is>
      </c>
      <c r="AQ94" t="inlineStr">
        <is>
          <t>Yes</t>
        </is>
      </c>
      <c r="AR94">
        <f>HYPERLINK("http://catalog.hathitrust.org/Record/004430938","HathiTrust Record")</f>
        <v/>
      </c>
      <c r="AS94">
        <f>HYPERLINK("https://creighton-primo.hosted.exlibrisgroup.com/primo-explore/search?tab=default_tab&amp;search_scope=EVERYTHING&amp;vid=01CRU&amp;lang=en_US&amp;offset=0&amp;query=any,contains,991005410189702656","Catalog Record")</f>
        <v/>
      </c>
      <c r="AT94">
        <f>HYPERLINK("http://www.worldcat.org/oclc/18668089","WorldCat Record")</f>
        <v/>
      </c>
      <c r="AU94" t="inlineStr">
        <is>
          <t>5598406:eng</t>
        </is>
      </c>
      <c r="AV94" t="inlineStr">
        <is>
          <t>18668089</t>
        </is>
      </c>
      <c r="AW94" t="inlineStr">
        <is>
          <t>991005410189702656</t>
        </is>
      </c>
      <c r="AX94" t="inlineStr">
        <is>
          <t>991005410189702656</t>
        </is>
      </c>
      <c r="AY94" t="inlineStr">
        <is>
          <t>2259918450002656</t>
        </is>
      </c>
      <c r="AZ94" t="inlineStr">
        <is>
          <t>BOOK</t>
        </is>
      </c>
      <c r="BB94" t="inlineStr">
        <is>
          <t>9780525243588</t>
        </is>
      </c>
      <c r="BC94" t="inlineStr">
        <is>
          <t>32285000056829</t>
        </is>
      </c>
      <c r="BD94" t="inlineStr">
        <is>
          <t>893508220</t>
        </is>
      </c>
    </row>
    <row r="95">
      <c r="A95" t="inlineStr">
        <is>
          <t>No</t>
        </is>
      </c>
      <c r="B95" t="inlineStr">
        <is>
          <t>TT504 .D45</t>
        </is>
      </c>
      <c r="C95" t="inlineStr">
        <is>
          <t>0                      TT 0504000D  45</t>
        </is>
      </c>
      <c r="D95" t="inlineStr">
        <is>
          <t>The history of haute couture, 1850-1950 / Diana de Marly.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K95" t="inlineStr">
        <is>
          <t>De Marly, Diana.</t>
        </is>
      </c>
      <c r="L95" t="inlineStr">
        <is>
          <t>New York : Holmes and Meier, c1980.</t>
        </is>
      </c>
      <c r="M95" t="inlineStr">
        <is>
          <t>1980</t>
        </is>
      </c>
      <c r="O95" t="inlineStr">
        <is>
          <t>eng</t>
        </is>
      </c>
      <c r="P95" t="inlineStr">
        <is>
          <t>nyu</t>
        </is>
      </c>
      <c r="R95" t="inlineStr">
        <is>
          <t xml:space="preserve">TT </t>
        </is>
      </c>
      <c r="S95" t="n">
        <v>12</v>
      </c>
      <c r="T95" t="n">
        <v>12</v>
      </c>
      <c r="U95" t="inlineStr">
        <is>
          <t>2007-02-13</t>
        </is>
      </c>
      <c r="V95" t="inlineStr">
        <is>
          <t>2007-02-13</t>
        </is>
      </c>
      <c r="W95" t="inlineStr">
        <is>
          <t>1993-08-03</t>
        </is>
      </c>
      <c r="X95" t="inlineStr">
        <is>
          <t>1993-08-03</t>
        </is>
      </c>
      <c r="Y95" t="n">
        <v>609</v>
      </c>
      <c r="Z95" t="n">
        <v>558</v>
      </c>
      <c r="AA95" t="n">
        <v>623</v>
      </c>
      <c r="AB95" t="n">
        <v>6</v>
      </c>
      <c r="AC95" t="n">
        <v>7</v>
      </c>
      <c r="AD95" t="n">
        <v>15</v>
      </c>
      <c r="AE95" t="n">
        <v>17</v>
      </c>
      <c r="AF95" t="n">
        <v>5</v>
      </c>
      <c r="AG95" t="n">
        <v>6</v>
      </c>
      <c r="AH95" t="n">
        <v>6</v>
      </c>
      <c r="AI95" t="n">
        <v>6</v>
      </c>
      <c r="AJ95" t="n">
        <v>4</v>
      </c>
      <c r="AK95" t="n">
        <v>4</v>
      </c>
      <c r="AL95" t="n">
        <v>4</v>
      </c>
      <c r="AM95" t="n">
        <v>5</v>
      </c>
      <c r="AN95" t="n">
        <v>0</v>
      </c>
      <c r="AO95" t="n">
        <v>0</v>
      </c>
      <c r="AP95" t="inlineStr">
        <is>
          <t>No</t>
        </is>
      </c>
      <c r="AQ95" t="inlineStr">
        <is>
          <t>Yes</t>
        </is>
      </c>
      <c r="AR95">
        <f>HYPERLINK("http://catalog.hathitrust.org/Record/000554548","HathiTrust Record")</f>
        <v/>
      </c>
      <c r="AS95">
        <f>HYPERLINK("https://creighton-primo.hosted.exlibrisgroup.com/primo-explore/search?tab=default_tab&amp;search_scope=EVERYTHING&amp;vid=01CRU&amp;lang=en_US&amp;offset=0&amp;query=any,contains,991004850509702656","Catalog Record")</f>
        <v/>
      </c>
      <c r="AT95">
        <f>HYPERLINK("http://www.worldcat.org/oclc/5607848","WorldCat Record")</f>
        <v/>
      </c>
      <c r="AU95" t="inlineStr">
        <is>
          <t>505778:eng</t>
        </is>
      </c>
      <c r="AV95" t="inlineStr">
        <is>
          <t>5607848</t>
        </is>
      </c>
      <c r="AW95" t="inlineStr">
        <is>
          <t>991004850509702656</t>
        </is>
      </c>
      <c r="AX95" t="inlineStr">
        <is>
          <t>991004850509702656</t>
        </is>
      </c>
      <c r="AY95" t="inlineStr">
        <is>
          <t>2265587510002656</t>
        </is>
      </c>
      <c r="AZ95" t="inlineStr">
        <is>
          <t>BOOK</t>
        </is>
      </c>
      <c r="BB95" t="inlineStr">
        <is>
          <t>9780841905863</t>
        </is>
      </c>
      <c r="BC95" t="inlineStr">
        <is>
          <t>32285001748895</t>
        </is>
      </c>
      <c r="BD95" t="inlineStr">
        <is>
          <t>893694406</t>
        </is>
      </c>
    </row>
    <row r="96">
      <c r="A96" t="inlineStr">
        <is>
          <t>No</t>
        </is>
      </c>
      <c r="B96" t="inlineStr">
        <is>
          <t>TT504 .G64 1975</t>
        </is>
      </c>
      <c r="C96" t="inlineStr">
        <is>
          <t>0                      TT 0504000G  64          1975</t>
        </is>
      </c>
      <c r="D96" t="inlineStr">
        <is>
          <t>75 years of fashion / by Annalee Gold.</t>
        </is>
      </c>
      <c r="F96" t="inlineStr">
        <is>
          <t>No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K96" t="inlineStr">
        <is>
          <t>Gold, Annalee.</t>
        </is>
      </c>
      <c r="L96" t="inlineStr">
        <is>
          <t>New York : Fairchild Publications, [1975]</t>
        </is>
      </c>
      <c r="M96" t="inlineStr">
        <is>
          <t>1975</t>
        </is>
      </c>
      <c r="O96" t="inlineStr">
        <is>
          <t>eng</t>
        </is>
      </c>
      <c r="P96" t="inlineStr">
        <is>
          <t>nyu</t>
        </is>
      </c>
      <c r="R96" t="inlineStr">
        <is>
          <t xml:space="preserve">TT </t>
        </is>
      </c>
      <c r="S96" t="n">
        <v>22</v>
      </c>
      <c r="T96" t="n">
        <v>22</v>
      </c>
      <c r="U96" t="inlineStr">
        <is>
          <t>2002-07-27</t>
        </is>
      </c>
      <c r="V96" t="inlineStr">
        <is>
          <t>2002-07-27</t>
        </is>
      </c>
      <c r="W96" t="inlineStr">
        <is>
          <t>1993-09-01</t>
        </is>
      </c>
      <c r="X96" t="inlineStr">
        <is>
          <t>1993-09-01</t>
        </is>
      </c>
      <c r="Y96" t="n">
        <v>512</v>
      </c>
      <c r="Z96" t="n">
        <v>460</v>
      </c>
      <c r="AA96" t="n">
        <v>508</v>
      </c>
      <c r="AB96" t="n">
        <v>8</v>
      </c>
      <c r="AC96" t="n">
        <v>8</v>
      </c>
      <c r="AD96" t="n">
        <v>18</v>
      </c>
      <c r="AE96" t="n">
        <v>20</v>
      </c>
      <c r="AF96" t="n">
        <v>6</v>
      </c>
      <c r="AG96" t="n">
        <v>7</v>
      </c>
      <c r="AH96" t="n">
        <v>3</v>
      </c>
      <c r="AI96" t="n">
        <v>4</v>
      </c>
      <c r="AJ96" t="n">
        <v>5</v>
      </c>
      <c r="AK96" t="n">
        <v>5</v>
      </c>
      <c r="AL96" t="n">
        <v>7</v>
      </c>
      <c r="AM96" t="n">
        <v>7</v>
      </c>
      <c r="AN96" t="n">
        <v>0</v>
      </c>
      <c r="AO96" t="n">
        <v>0</v>
      </c>
      <c r="AP96" t="inlineStr">
        <is>
          <t>No</t>
        </is>
      </c>
      <c r="AQ96" t="inlineStr">
        <is>
          <t>Yes</t>
        </is>
      </c>
      <c r="AR96">
        <f>HYPERLINK("http://catalog.hathitrust.org/Record/009095011","HathiTrust Record")</f>
        <v/>
      </c>
      <c r="AS96">
        <f>HYPERLINK("https://creighton-primo.hosted.exlibrisgroup.com/primo-explore/search?tab=default_tab&amp;search_scope=EVERYTHING&amp;vid=01CRU&amp;lang=en_US&amp;offset=0&amp;query=any,contains,991003759319702656","Catalog Record")</f>
        <v/>
      </c>
      <c r="AT96">
        <f>HYPERLINK("http://www.worldcat.org/oclc/1443968","WorldCat Record")</f>
        <v/>
      </c>
      <c r="AU96" t="inlineStr">
        <is>
          <t>513858:eng</t>
        </is>
      </c>
      <c r="AV96" t="inlineStr">
        <is>
          <t>1443968</t>
        </is>
      </c>
      <c r="AW96" t="inlineStr">
        <is>
          <t>991003759319702656</t>
        </is>
      </c>
      <c r="AX96" t="inlineStr">
        <is>
          <t>991003759319702656</t>
        </is>
      </c>
      <c r="AY96" t="inlineStr">
        <is>
          <t>2255095300002656</t>
        </is>
      </c>
      <c r="AZ96" t="inlineStr">
        <is>
          <t>BOOK</t>
        </is>
      </c>
      <c r="BB96" t="inlineStr">
        <is>
          <t>9780870051449</t>
        </is>
      </c>
      <c r="BC96" t="inlineStr">
        <is>
          <t>32285001781136</t>
        </is>
      </c>
      <c r="BD96" t="inlineStr">
        <is>
          <t>893240566</t>
        </is>
      </c>
    </row>
    <row r="97">
      <c r="A97" t="inlineStr">
        <is>
          <t>No</t>
        </is>
      </c>
      <c r="B97" t="inlineStr">
        <is>
          <t>TT504 .W38</t>
        </is>
      </c>
      <c r="C97" t="inlineStr">
        <is>
          <t>0                      TT 0504000W  38</t>
        </is>
      </c>
      <c r="D97" t="inlineStr">
        <is>
          <t>The cut of men's clothes, 1600-1900.</t>
        </is>
      </c>
      <c r="F97" t="inlineStr">
        <is>
          <t>No</t>
        </is>
      </c>
      <c r="G97" t="inlineStr">
        <is>
          <t>1</t>
        </is>
      </c>
      <c r="H97" t="inlineStr">
        <is>
          <t>No</t>
        </is>
      </c>
      <c r="I97" t="inlineStr">
        <is>
          <t>No</t>
        </is>
      </c>
      <c r="J97" t="inlineStr">
        <is>
          <t>0</t>
        </is>
      </c>
      <c r="K97" t="inlineStr">
        <is>
          <t>Waugh, Norah.</t>
        </is>
      </c>
      <c r="L97" t="inlineStr">
        <is>
          <t>New York : Theatre Arts Books, [1964]</t>
        </is>
      </c>
      <c r="M97" t="inlineStr">
        <is>
          <t>1964</t>
        </is>
      </c>
      <c r="O97" t="inlineStr">
        <is>
          <t>eng</t>
        </is>
      </c>
      <c r="P97" t="inlineStr">
        <is>
          <t>nyu</t>
        </is>
      </c>
      <c r="R97" t="inlineStr">
        <is>
          <t xml:space="preserve">TT </t>
        </is>
      </c>
      <c r="S97" t="n">
        <v>8</v>
      </c>
      <c r="T97" t="n">
        <v>8</v>
      </c>
      <c r="U97" t="inlineStr">
        <is>
          <t>2000-11-09</t>
        </is>
      </c>
      <c r="V97" t="inlineStr">
        <is>
          <t>2000-11-09</t>
        </is>
      </c>
      <c r="W97" t="inlineStr">
        <is>
          <t>1990-02-24</t>
        </is>
      </c>
      <c r="X97" t="inlineStr">
        <is>
          <t>1990-02-24</t>
        </is>
      </c>
      <c r="Y97" t="n">
        <v>827</v>
      </c>
      <c r="Z97" t="n">
        <v>788</v>
      </c>
      <c r="AA97" t="n">
        <v>1092</v>
      </c>
      <c r="AB97" t="n">
        <v>10</v>
      </c>
      <c r="AC97" t="n">
        <v>12</v>
      </c>
      <c r="AD97" t="n">
        <v>31</v>
      </c>
      <c r="AE97" t="n">
        <v>40</v>
      </c>
      <c r="AF97" t="n">
        <v>9</v>
      </c>
      <c r="AG97" t="n">
        <v>15</v>
      </c>
      <c r="AH97" t="n">
        <v>5</v>
      </c>
      <c r="AI97" t="n">
        <v>6</v>
      </c>
      <c r="AJ97" t="n">
        <v>12</v>
      </c>
      <c r="AK97" t="n">
        <v>15</v>
      </c>
      <c r="AL97" t="n">
        <v>9</v>
      </c>
      <c r="AM97" t="n">
        <v>11</v>
      </c>
      <c r="AN97" t="n">
        <v>0</v>
      </c>
      <c r="AO97" t="n">
        <v>0</v>
      </c>
      <c r="AP97" t="inlineStr">
        <is>
          <t>No</t>
        </is>
      </c>
      <c r="AQ97" t="inlineStr">
        <is>
          <t>No</t>
        </is>
      </c>
      <c r="AS97">
        <f>HYPERLINK("https://creighton-primo.hosted.exlibrisgroup.com/primo-explore/search?tab=default_tab&amp;search_scope=EVERYTHING&amp;vid=01CRU&amp;lang=en_US&amp;offset=0&amp;query=any,contains,991002998539702656","Catalog Record")</f>
        <v/>
      </c>
      <c r="AT97">
        <f>HYPERLINK("http://www.worldcat.org/oclc/566717","WorldCat Record")</f>
        <v/>
      </c>
      <c r="AU97" t="inlineStr">
        <is>
          <t>4820465439:eng</t>
        </is>
      </c>
      <c r="AV97" t="inlineStr">
        <is>
          <t>566717</t>
        </is>
      </c>
      <c r="AW97" t="inlineStr">
        <is>
          <t>991002998539702656</t>
        </is>
      </c>
      <c r="AX97" t="inlineStr">
        <is>
          <t>991002998539702656</t>
        </is>
      </c>
      <c r="AY97" t="inlineStr">
        <is>
          <t>2256399100002656</t>
        </is>
      </c>
      <c r="AZ97" t="inlineStr">
        <is>
          <t>BOOK</t>
        </is>
      </c>
      <c r="BC97" t="inlineStr">
        <is>
          <t>32285000061274</t>
        </is>
      </c>
      <c r="BD97" t="inlineStr">
        <is>
          <t>893704782</t>
        </is>
      </c>
    </row>
    <row r="98">
      <c r="A98" t="inlineStr">
        <is>
          <t>No</t>
        </is>
      </c>
      <c r="B98" t="inlineStr">
        <is>
          <t>TT504 .W385 1968b</t>
        </is>
      </c>
      <c r="C98" t="inlineStr">
        <is>
          <t>0                      TT 0504000W  385         1968b</t>
        </is>
      </c>
      <c r="D98" t="inlineStr">
        <is>
          <t>The cut of women's clothes 1600-1930 / [by] Norah Waugh; [completed and] with line diagrams by Margaret Woodward.</t>
        </is>
      </c>
      <c r="F98" t="inlineStr">
        <is>
          <t>No</t>
        </is>
      </c>
      <c r="G98" t="inlineStr">
        <is>
          <t>1</t>
        </is>
      </c>
      <c r="H98" t="inlineStr">
        <is>
          <t>No</t>
        </is>
      </c>
      <c r="I98" t="inlineStr">
        <is>
          <t>No</t>
        </is>
      </c>
      <c r="J98" t="inlineStr">
        <is>
          <t>0</t>
        </is>
      </c>
      <c r="K98" t="inlineStr">
        <is>
          <t>Waugh, Norah.</t>
        </is>
      </c>
      <c r="L98" t="inlineStr">
        <is>
          <t>London : Faber, 1968.</t>
        </is>
      </c>
      <c r="M98" t="inlineStr">
        <is>
          <t>1968</t>
        </is>
      </c>
      <c r="O98" t="inlineStr">
        <is>
          <t>eng</t>
        </is>
      </c>
      <c r="P98" t="inlineStr">
        <is>
          <t>enk</t>
        </is>
      </c>
      <c r="R98" t="inlineStr">
        <is>
          <t xml:space="preserve">TT </t>
        </is>
      </c>
      <c r="S98" t="n">
        <v>11</v>
      </c>
      <c r="T98" t="n">
        <v>11</v>
      </c>
      <c r="U98" t="inlineStr">
        <is>
          <t>2005-03-20</t>
        </is>
      </c>
      <c r="V98" t="inlineStr">
        <is>
          <t>2005-03-20</t>
        </is>
      </c>
      <c r="W98" t="inlineStr">
        <is>
          <t>1990-02-21</t>
        </is>
      </c>
      <c r="X98" t="inlineStr">
        <is>
          <t>1990-02-21</t>
        </is>
      </c>
      <c r="Y98" t="n">
        <v>423</v>
      </c>
      <c r="Z98" t="n">
        <v>190</v>
      </c>
      <c r="AA98" t="n">
        <v>1023</v>
      </c>
      <c r="AB98" t="n">
        <v>1</v>
      </c>
      <c r="AC98" t="n">
        <v>8</v>
      </c>
      <c r="AD98" t="n">
        <v>7</v>
      </c>
      <c r="AE98" t="n">
        <v>33</v>
      </c>
      <c r="AF98" t="n">
        <v>5</v>
      </c>
      <c r="AG98" t="n">
        <v>14</v>
      </c>
      <c r="AH98" t="n">
        <v>1</v>
      </c>
      <c r="AI98" t="n">
        <v>6</v>
      </c>
      <c r="AJ98" t="n">
        <v>4</v>
      </c>
      <c r="AK98" t="n">
        <v>14</v>
      </c>
      <c r="AL98" t="n">
        <v>0</v>
      </c>
      <c r="AM98" t="n">
        <v>7</v>
      </c>
      <c r="AN98" t="n">
        <v>0</v>
      </c>
      <c r="AO98" t="n">
        <v>0</v>
      </c>
      <c r="AP98" t="inlineStr">
        <is>
          <t>No</t>
        </is>
      </c>
      <c r="AQ98" t="inlineStr">
        <is>
          <t>No</t>
        </is>
      </c>
      <c r="AS98">
        <f>HYPERLINK("https://creighton-primo.hosted.exlibrisgroup.com/primo-explore/search?tab=default_tab&amp;search_scope=EVERYTHING&amp;vid=01CRU&amp;lang=en_US&amp;offset=0&amp;query=any,contains,991000098189702656","Catalog Record")</f>
        <v/>
      </c>
      <c r="AT98">
        <f>HYPERLINK("http://www.worldcat.org/oclc/43015","WorldCat Record")</f>
        <v/>
      </c>
      <c r="AU98" t="inlineStr">
        <is>
          <t>158611:eng</t>
        </is>
      </c>
      <c r="AV98" t="inlineStr">
        <is>
          <t>43015</t>
        </is>
      </c>
      <c r="AW98" t="inlineStr">
        <is>
          <t>991000098189702656</t>
        </is>
      </c>
      <c r="AX98" t="inlineStr">
        <is>
          <t>991000098189702656</t>
        </is>
      </c>
      <c r="AY98" t="inlineStr">
        <is>
          <t>2260590060002656</t>
        </is>
      </c>
      <c r="AZ98" t="inlineStr">
        <is>
          <t>BOOK</t>
        </is>
      </c>
      <c r="BB98" t="inlineStr">
        <is>
          <t>9780571085941</t>
        </is>
      </c>
      <c r="BC98" t="inlineStr">
        <is>
          <t>32285000057876</t>
        </is>
      </c>
      <c r="BD98" t="inlineStr">
        <is>
          <t>893521396</t>
        </is>
      </c>
    </row>
    <row r="99">
      <c r="A99" t="inlineStr">
        <is>
          <t>No</t>
        </is>
      </c>
      <c r="B99" t="inlineStr">
        <is>
          <t>TT505.H4 C455 2003</t>
        </is>
      </c>
      <c r="C99" t="inlineStr">
        <is>
          <t>0                      TT 0505000H  4                  C  455         2003</t>
        </is>
      </c>
      <c r="D99" t="inlineStr">
        <is>
          <t>Edith Head : the life and times of Hollywood's celebrated costume designer / David Chierichetti.</t>
        </is>
      </c>
      <c r="F99" t="inlineStr">
        <is>
          <t>No</t>
        </is>
      </c>
      <c r="G99" t="inlineStr">
        <is>
          <t>1</t>
        </is>
      </c>
      <c r="H99" t="inlineStr">
        <is>
          <t>No</t>
        </is>
      </c>
      <c r="I99" t="inlineStr">
        <is>
          <t>No</t>
        </is>
      </c>
      <c r="J99" t="inlineStr">
        <is>
          <t>0</t>
        </is>
      </c>
      <c r="K99" t="inlineStr">
        <is>
          <t>Chierichetti, David.</t>
        </is>
      </c>
      <c r="L99" t="inlineStr">
        <is>
          <t>New York : Harper Collins Publishers, c2003.</t>
        </is>
      </c>
      <c r="M99" t="inlineStr">
        <is>
          <t>2003</t>
        </is>
      </c>
      <c r="N99" t="inlineStr">
        <is>
          <t>1st ed.</t>
        </is>
      </c>
      <c r="O99" t="inlineStr">
        <is>
          <t>eng</t>
        </is>
      </c>
      <c r="P99" t="inlineStr">
        <is>
          <t>nyu</t>
        </is>
      </c>
      <c r="R99" t="inlineStr">
        <is>
          <t xml:space="preserve">TT </t>
        </is>
      </c>
      <c r="S99" t="n">
        <v>3</v>
      </c>
      <c r="T99" t="n">
        <v>3</v>
      </c>
      <c r="U99" t="inlineStr">
        <is>
          <t>2003-06-25</t>
        </is>
      </c>
      <c r="V99" t="inlineStr">
        <is>
          <t>2003-06-25</t>
        </is>
      </c>
      <c r="W99" t="inlineStr">
        <is>
          <t>2003-03-11</t>
        </is>
      </c>
      <c r="X99" t="inlineStr">
        <is>
          <t>2003-03-11</t>
        </is>
      </c>
      <c r="Y99" t="n">
        <v>756</v>
      </c>
      <c r="Z99" t="n">
        <v>710</v>
      </c>
      <c r="AA99" t="n">
        <v>710</v>
      </c>
      <c r="AB99" t="n">
        <v>4</v>
      </c>
      <c r="AC99" t="n">
        <v>4</v>
      </c>
      <c r="AD99" t="n">
        <v>13</v>
      </c>
      <c r="AE99" t="n">
        <v>13</v>
      </c>
      <c r="AF99" t="n">
        <v>5</v>
      </c>
      <c r="AG99" t="n">
        <v>5</v>
      </c>
      <c r="AH99" t="n">
        <v>2</v>
      </c>
      <c r="AI99" t="n">
        <v>2</v>
      </c>
      <c r="AJ99" t="n">
        <v>8</v>
      </c>
      <c r="AK99" t="n">
        <v>8</v>
      </c>
      <c r="AL99" t="n">
        <v>1</v>
      </c>
      <c r="AM99" t="n">
        <v>1</v>
      </c>
      <c r="AN99" t="n">
        <v>0</v>
      </c>
      <c r="AO99" t="n">
        <v>0</v>
      </c>
      <c r="AP99" t="inlineStr">
        <is>
          <t>No</t>
        </is>
      </c>
      <c r="AQ99" t="inlineStr">
        <is>
          <t>No</t>
        </is>
      </c>
      <c r="AS99">
        <f>HYPERLINK("https://creighton-primo.hosted.exlibrisgroup.com/primo-explore/search?tab=default_tab&amp;search_scope=EVERYTHING&amp;vid=01CRU&amp;lang=en_US&amp;offset=0&amp;query=any,contains,991004002399702656","Catalog Record")</f>
        <v/>
      </c>
      <c r="AT99">
        <f>HYPERLINK("http://www.worldcat.org/oclc/49260717","WorldCat Record")</f>
        <v/>
      </c>
      <c r="AU99" t="inlineStr">
        <is>
          <t>5614215853:eng</t>
        </is>
      </c>
      <c r="AV99" t="inlineStr">
        <is>
          <t>49260717</t>
        </is>
      </c>
      <c r="AW99" t="inlineStr">
        <is>
          <t>991004002399702656</t>
        </is>
      </c>
      <c r="AX99" t="inlineStr">
        <is>
          <t>991004002399702656</t>
        </is>
      </c>
      <c r="AY99" t="inlineStr">
        <is>
          <t>2254775070002656</t>
        </is>
      </c>
      <c r="AZ99" t="inlineStr">
        <is>
          <t>BOOK</t>
        </is>
      </c>
      <c r="BB99" t="inlineStr">
        <is>
          <t>9780060194284</t>
        </is>
      </c>
      <c r="BC99" t="inlineStr">
        <is>
          <t>32285004683727</t>
        </is>
      </c>
      <c r="BD99" t="inlineStr">
        <is>
          <t>893228791</t>
        </is>
      </c>
    </row>
    <row r="100">
      <c r="A100" t="inlineStr">
        <is>
          <t>No</t>
        </is>
      </c>
      <c r="B100" t="inlineStr">
        <is>
          <t>TT505.K54 G35 1994</t>
        </is>
      </c>
      <c r="C100" t="inlineStr">
        <is>
          <t>0                      TT 0505000K  54                 G  35          1994</t>
        </is>
      </c>
      <c r="D100" t="inlineStr">
        <is>
          <t>Obsession : the lives and times of Calvin Klein / Steven Gaines and Sharon Churcher.</t>
        </is>
      </c>
      <c r="F100" t="inlineStr">
        <is>
          <t>No</t>
        </is>
      </c>
      <c r="G100" t="inlineStr">
        <is>
          <t>1</t>
        </is>
      </c>
      <c r="H100" t="inlineStr">
        <is>
          <t>No</t>
        </is>
      </c>
      <c r="I100" t="inlineStr">
        <is>
          <t>No</t>
        </is>
      </c>
      <c r="J100" t="inlineStr">
        <is>
          <t>0</t>
        </is>
      </c>
      <c r="K100" t="inlineStr">
        <is>
          <t>Gaines, Steven S.</t>
        </is>
      </c>
      <c r="L100" t="inlineStr">
        <is>
          <t>New York : Birch Lane Press, c1994.</t>
        </is>
      </c>
      <c r="M100" t="inlineStr">
        <is>
          <t>1994</t>
        </is>
      </c>
      <c r="O100" t="inlineStr">
        <is>
          <t>eng</t>
        </is>
      </c>
      <c r="P100" t="inlineStr">
        <is>
          <t>nyu</t>
        </is>
      </c>
      <c r="R100" t="inlineStr">
        <is>
          <t xml:space="preserve">TT </t>
        </is>
      </c>
      <c r="S100" t="n">
        <v>8</v>
      </c>
      <c r="T100" t="n">
        <v>8</v>
      </c>
      <c r="U100" t="inlineStr">
        <is>
          <t>2008-10-28</t>
        </is>
      </c>
      <c r="V100" t="inlineStr">
        <is>
          <t>2008-10-28</t>
        </is>
      </c>
      <c r="W100" t="inlineStr">
        <is>
          <t>1994-05-19</t>
        </is>
      </c>
      <c r="X100" t="inlineStr">
        <is>
          <t>1994-05-19</t>
        </is>
      </c>
      <c r="Y100" t="n">
        <v>651</v>
      </c>
      <c r="Z100" t="n">
        <v>588</v>
      </c>
      <c r="AA100" t="n">
        <v>624</v>
      </c>
      <c r="AB100" t="n">
        <v>7</v>
      </c>
      <c r="AC100" t="n">
        <v>7</v>
      </c>
      <c r="AD100" t="n">
        <v>7</v>
      </c>
      <c r="AE100" t="n">
        <v>8</v>
      </c>
      <c r="AF100" t="n">
        <v>3</v>
      </c>
      <c r="AG100" t="n">
        <v>4</v>
      </c>
      <c r="AH100" t="n">
        <v>1</v>
      </c>
      <c r="AI100" t="n">
        <v>1</v>
      </c>
      <c r="AJ100" t="n">
        <v>2</v>
      </c>
      <c r="AK100" t="n">
        <v>2</v>
      </c>
      <c r="AL100" t="n">
        <v>2</v>
      </c>
      <c r="AM100" t="n">
        <v>2</v>
      </c>
      <c r="AN100" t="n">
        <v>0</v>
      </c>
      <c r="AO100" t="n">
        <v>0</v>
      </c>
      <c r="AP100" t="inlineStr">
        <is>
          <t>No</t>
        </is>
      </c>
      <c r="AQ100" t="inlineStr">
        <is>
          <t>No</t>
        </is>
      </c>
      <c r="AS100">
        <f>HYPERLINK("https://creighton-primo.hosted.exlibrisgroup.com/primo-explore/search?tab=default_tab&amp;search_scope=EVERYTHING&amp;vid=01CRU&amp;lang=en_US&amp;offset=0&amp;query=any,contains,991002330369702656","Catalog Record")</f>
        <v/>
      </c>
      <c r="AT100">
        <f>HYPERLINK("http://www.worldcat.org/oclc/30321777","WorldCat Record")</f>
        <v/>
      </c>
      <c r="AU100" t="inlineStr">
        <is>
          <t>32325228:eng</t>
        </is>
      </c>
      <c r="AV100" t="inlineStr">
        <is>
          <t>30321777</t>
        </is>
      </c>
      <c r="AW100" t="inlineStr">
        <is>
          <t>991002330369702656</t>
        </is>
      </c>
      <c r="AX100" t="inlineStr">
        <is>
          <t>991002330369702656</t>
        </is>
      </c>
      <c r="AY100" t="inlineStr">
        <is>
          <t>2269999550002656</t>
        </is>
      </c>
      <c r="AZ100" t="inlineStr">
        <is>
          <t>BOOK</t>
        </is>
      </c>
      <c r="BB100" t="inlineStr">
        <is>
          <t>9781559722353</t>
        </is>
      </c>
      <c r="BC100" t="inlineStr">
        <is>
          <t>32285001897593</t>
        </is>
      </c>
      <c r="BD100" t="inlineStr">
        <is>
          <t>893427481</t>
        </is>
      </c>
    </row>
    <row r="101">
      <c r="A101" t="inlineStr">
        <is>
          <t>No</t>
        </is>
      </c>
      <c r="B101" t="inlineStr">
        <is>
          <t>TT505.V74 A33 1984</t>
        </is>
      </c>
      <c r="C101" t="inlineStr">
        <is>
          <t>0                      TT 0505000V  74                 A  33          1984</t>
        </is>
      </c>
      <c r="D101" t="inlineStr">
        <is>
          <t>D.V. / by Diana Vreeland ; edited by George Plimpton and Christopher Hemphill.</t>
        </is>
      </c>
      <c r="F101" t="inlineStr">
        <is>
          <t>No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K101" t="inlineStr">
        <is>
          <t>Vreeland, Diana.</t>
        </is>
      </c>
      <c r="L101" t="inlineStr">
        <is>
          <t>New York : Knopf, 1984.</t>
        </is>
      </c>
      <c r="M101" t="inlineStr">
        <is>
          <t>1984</t>
        </is>
      </c>
      <c r="N101" t="inlineStr">
        <is>
          <t>1st ed.</t>
        </is>
      </c>
      <c r="O101" t="inlineStr">
        <is>
          <t>eng</t>
        </is>
      </c>
      <c r="P101" t="inlineStr">
        <is>
          <t>nyu</t>
        </is>
      </c>
      <c r="R101" t="inlineStr">
        <is>
          <t xml:space="preserve">TT </t>
        </is>
      </c>
      <c r="S101" t="n">
        <v>3</v>
      </c>
      <c r="T101" t="n">
        <v>3</v>
      </c>
      <c r="U101" t="inlineStr">
        <is>
          <t>2001-12-14</t>
        </is>
      </c>
      <c r="V101" t="inlineStr">
        <is>
          <t>2001-12-14</t>
        </is>
      </c>
      <c r="W101" t="inlineStr">
        <is>
          <t>1990-07-27</t>
        </is>
      </c>
      <c r="X101" t="inlineStr">
        <is>
          <t>1990-07-27</t>
        </is>
      </c>
      <c r="Y101" t="n">
        <v>922</v>
      </c>
      <c r="Z101" t="n">
        <v>869</v>
      </c>
      <c r="AA101" t="n">
        <v>1013</v>
      </c>
      <c r="AB101" t="n">
        <v>4</v>
      </c>
      <c r="AC101" t="n">
        <v>5</v>
      </c>
      <c r="AD101" t="n">
        <v>13</v>
      </c>
      <c r="AE101" t="n">
        <v>15</v>
      </c>
      <c r="AF101" t="n">
        <v>5</v>
      </c>
      <c r="AG101" t="n">
        <v>6</v>
      </c>
      <c r="AH101" t="n">
        <v>4</v>
      </c>
      <c r="AI101" t="n">
        <v>4</v>
      </c>
      <c r="AJ101" t="n">
        <v>3</v>
      </c>
      <c r="AK101" t="n">
        <v>3</v>
      </c>
      <c r="AL101" t="n">
        <v>1</v>
      </c>
      <c r="AM101" t="n">
        <v>2</v>
      </c>
      <c r="AN101" t="n">
        <v>1</v>
      </c>
      <c r="AO101" t="n">
        <v>1</v>
      </c>
      <c r="AP101" t="inlineStr">
        <is>
          <t>No</t>
        </is>
      </c>
      <c r="AQ101" t="inlineStr">
        <is>
          <t>Yes</t>
        </is>
      </c>
      <c r="AR101">
        <f>HYPERLINK("http://catalog.hathitrust.org/Record/000785253","HathiTrust Record")</f>
        <v/>
      </c>
      <c r="AS101">
        <f>HYPERLINK("https://creighton-primo.hosted.exlibrisgroup.com/primo-explore/search?tab=default_tab&amp;search_scope=EVERYTHING&amp;vid=01CRU&amp;lang=en_US&amp;offset=0&amp;query=any,contains,991000400939702656","Catalog Record")</f>
        <v/>
      </c>
      <c r="AT101">
        <f>HYPERLINK("http://www.worldcat.org/oclc/10606379","WorldCat Record")</f>
        <v/>
      </c>
      <c r="AU101" t="inlineStr">
        <is>
          <t>673125:eng</t>
        </is>
      </c>
      <c r="AV101" t="inlineStr">
        <is>
          <t>10606379</t>
        </is>
      </c>
      <c r="AW101" t="inlineStr">
        <is>
          <t>991000400939702656</t>
        </is>
      </c>
      <c r="AX101" t="inlineStr">
        <is>
          <t>991000400939702656</t>
        </is>
      </c>
      <c r="AY101" t="inlineStr">
        <is>
          <t>2260190530002656</t>
        </is>
      </c>
      <c r="AZ101" t="inlineStr">
        <is>
          <t>BOOK</t>
        </is>
      </c>
      <c r="BB101" t="inlineStr">
        <is>
          <t>9780394503417</t>
        </is>
      </c>
      <c r="BC101" t="inlineStr">
        <is>
          <t>32285000023639</t>
        </is>
      </c>
      <c r="BD101" t="inlineStr">
        <is>
          <t>893413314</t>
        </is>
      </c>
    </row>
    <row r="102">
      <c r="A102" t="inlineStr">
        <is>
          <t>No</t>
        </is>
      </c>
      <c r="B102" t="inlineStr">
        <is>
          <t>TT507 .A713</t>
        </is>
      </c>
      <c r="C102" t="inlineStr">
        <is>
          <t>0                      TT 0507000A  713</t>
        </is>
      </c>
      <c r="D102" t="inlineStr">
        <is>
          <t>Elegance : a complete guide for every women who wants to be well and properly dressed on all occasions / Geneviève Antoine Dariaux.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No</t>
        </is>
      </c>
      <c r="J102" t="inlineStr">
        <is>
          <t>0</t>
        </is>
      </c>
      <c r="K102" t="inlineStr">
        <is>
          <t>Antoine-Dariaux, Geneviève, 1914-</t>
        </is>
      </c>
      <c r="L102" t="inlineStr">
        <is>
          <t>Garden City, N.Y. : Doubleday, 1964.</t>
        </is>
      </c>
      <c r="M102" t="inlineStr">
        <is>
          <t>1964</t>
        </is>
      </c>
      <c r="N102" t="inlineStr">
        <is>
          <t>[1st ed.]</t>
        </is>
      </c>
      <c r="O102" t="inlineStr">
        <is>
          <t>eng</t>
        </is>
      </c>
      <c r="P102" t="inlineStr">
        <is>
          <t>nyu</t>
        </is>
      </c>
      <c r="R102" t="inlineStr">
        <is>
          <t xml:space="preserve">TT </t>
        </is>
      </c>
      <c r="S102" t="n">
        <v>7</v>
      </c>
      <c r="T102" t="n">
        <v>7</v>
      </c>
      <c r="U102" t="inlineStr">
        <is>
          <t>2006-12-15</t>
        </is>
      </c>
      <c r="V102" t="inlineStr">
        <is>
          <t>2006-12-15</t>
        </is>
      </c>
      <c r="W102" t="inlineStr">
        <is>
          <t>1990-02-28</t>
        </is>
      </c>
      <c r="X102" t="inlineStr">
        <is>
          <t>1990-02-28</t>
        </is>
      </c>
      <c r="Y102" t="n">
        <v>317</v>
      </c>
      <c r="Z102" t="n">
        <v>299</v>
      </c>
      <c r="AA102" t="n">
        <v>505</v>
      </c>
      <c r="AB102" t="n">
        <v>3</v>
      </c>
      <c r="AC102" t="n">
        <v>4</v>
      </c>
      <c r="AD102" t="n">
        <v>7</v>
      </c>
      <c r="AE102" t="n">
        <v>8</v>
      </c>
      <c r="AF102" t="n">
        <v>3</v>
      </c>
      <c r="AG102" t="n">
        <v>3</v>
      </c>
      <c r="AH102" t="n">
        <v>1</v>
      </c>
      <c r="AI102" t="n">
        <v>2</v>
      </c>
      <c r="AJ102" t="n">
        <v>0</v>
      </c>
      <c r="AK102" t="n">
        <v>1</v>
      </c>
      <c r="AL102" t="n">
        <v>3</v>
      </c>
      <c r="AM102" t="n">
        <v>3</v>
      </c>
      <c r="AN102" t="n">
        <v>0</v>
      </c>
      <c r="AO102" t="n">
        <v>0</v>
      </c>
      <c r="AP102" t="inlineStr">
        <is>
          <t>No</t>
        </is>
      </c>
      <c r="AQ102" t="inlineStr">
        <is>
          <t>No</t>
        </is>
      </c>
      <c r="AS102">
        <f>HYPERLINK("https://creighton-primo.hosted.exlibrisgroup.com/primo-explore/search?tab=default_tab&amp;search_scope=EVERYTHING&amp;vid=01CRU&amp;lang=en_US&amp;offset=0&amp;query=any,contains,991002367439702656","Catalog Record")</f>
        <v/>
      </c>
      <c r="AT102">
        <f>HYPERLINK("http://www.worldcat.org/oclc/326714","WorldCat Record")</f>
        <v/>
      </c>
      <c r="AU102" t="inlineStr">
        <is>
          <t>198709381:eng</t>
        </is>
      </c>
      <c r="AV102" t="inlineStr">
        <is>
          <t>326714</t>
        </is>
      </c>
      <c r="AW102" t="inlineStr">
        <is>
          <t>991002367439702656</t>
        </is>
      </c>
      <c r="AX102" t="inlineStr">
        <is>
          <t>991002367439702656</t>
        </is>
      </c>
      <c r="AY102" t="inlineStr">
        <is>
          <t>2272078760002656</t>
        </is>
      </c>
      <c r="AZ102" t="inlineStr">
        <is>
          <t>BOOK</t>
        </is>
      </c>
      <c r="BC102" t="inlineStr">
        <is>
          <t>32285000072669</t>
        </is>
      </c>
      <c r="BD102" t="inlineStr">
        <is>
          <t>893257208</t>
        </is>
      </c>
    </row>
    <row r="103">
      <c r="A103" t="inlineStr">
        <is>
          <t>No</t>
        </is>
      </c>
      <c r="B103" t="inlineStr">
        <is>
          <t>TT507 .B37 1984</t>
        </is>
      </c>
      <c r="C103" t="inlineStr">
        <is>
          <t>0                      TT 0507000B  37          1984</t>
        </is>
      </c>
      <c r="D103" t="inlineStr">
        <is>
          <t>Art deco fashion : French designers 1908-1925 / Martin Battersby.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K103" t="inlineStr">
        <is>
          <t>Battersby, Martin.</t>
        </is>
      </c>
      <c r="L103" t="inlineStr">
        <is>
          <t>London : Academy Editions ; New York : St. Martin's Press, c1984.</t>
        </is>
      </c>
      <c r="M103" t="inlineStr">
        <is>
          <t>1984</t>
        </is>
      </c>
      <c r="O103" t="inlineStr">
        <is>
          <t>eng</t>
        </is>
      </c>
      <c r="P103" t="inlineStr">
        <is>
          <t>enk</t>
        </is>
      </c>
      <c r="R103" t="inlineStr">
        <is>
          <t xml:space="preserve">TT </t>
        </is>
      </c>
      <c r="S103" t="n">
        <v>6</v>
      </c>
      <c r="T103" t="n">
        <v>6</v>
      </c>
      <c r="U103" t="inlineStr">
        <is>
          <t>1996-12-13</t>
        </is>
      </c>
      <c r="V103" t="inlineStr">
        <is>
          <t>1996-12-13</t>
        </is>
      </c>
      <c r="W103" t="inlineStr">
        <is>
          <t>1991-10-29</t>
        </is>
      </c>
      <c r="X103" t="inlineStr">
        <is>
          <t>1991-10-29</t>
        </is>
      </c>
      <c r="Y103" t="n">
        <v>180</v>
      </c>
      <c r="Z103" t="n">
        <v>121</v>
      </c>
      <c r="AA103" t="n">
        <v>121</v>
      </c>
      <c r="AB103" t="n">
        <v>2</v>
      </c>
      <c r="AC103" t="n">
        <v>2</v>
      </c>
      <c r="AD103" t="n">
        <v>3</v>
      </c>
      <c r="AE103" t="n">
        <v>3</v>
      </c>
      <c r="AF103" t="n">
        <v>0</v>
      </c>
      <c r="AG103" t="n">
        <v>0</v>
      </c>
      <c r="AH103" t="n">
        <v>0</v>
      </c>
      <c r="AI103" t="n">
        <v>0</v>
      </c>
      <c r="AJ103" t="n">
        <v>2</v>
      </c>
      <c r="AK103" t="n">
        <v>2</v>
      </c>
      <c r="AL103" t="n">
        <v>1</v>
      </c>
      <c r="AM103" t="n">
        <v>1</v>
      </c>
      <c r="AN103" t="n">
        <v>0</v>
      </c>
      <c r="AO103" t="n">
        <v>0</v>
      </c>
      <c r="AP103" t="inlineStr">
        <is>
          <t>No</t>
        </is>
      </c>
      <c r="AQ103" t="inlineStr">
        <is>
          <t>No</t>
        </is>
      </c>
      <c r="AS103">
        <f>HYPERLINK("https://creighton-primo.hosted.exlibrisgroup.com/primo-explore/search?tab=default_tab&amp;search_scope=EVERYTHING&amp;vid=01CRU&amp;lang=en_US&amp;offset=0&amp;query=any,contains,991000604689702656","Catalog Record")</f>
        <v/>
      </c>
      <c r="AT103">
        <f>HYPERLINK("http://www.worldcat.org/oclc/11859677","WorldCat Record")</f>
        <v/>
      </c>
      <c r="AU103" t="inlineStr">
        <is>
          <t>5585258481:eng</t>
        </is>
      </c>
      <c r="AV103" t="inlineStr">
        <is>
          <t>11859677</t>
        </is>
      </c>
      <c r="AW103" t="inlineStr">
        <is>
          <t>991000604689702656</t>
        </is>
      </c>
      <c r="AX103" t="inlineStr">
        <is>
          <t>991000604689702656</t>
        </is>
      </c>
      <c r="AY103" t="inlineStr">
        <is>
          <t>2267246680002656</t>
        </is>
      </c>
      <c r="AZ103" t="inlineStr">
        <is>
          <t>BOOK</t>
        </is>
      </c>
      <c r="BB103" t="inlineStr">
        <is>
          <t>9780312051815</t>
        </is>
      </c>
      <c r="BC103" t="inlineStr">
        <is>
          <t>32285000803246</t>
        </is>
      </c>
      <c r="BD103" t="inlineStr">
        <is>
          <t>893419613</t>
        </is>
      </c>
    </row>
    <row r="104">
      <c r="A104" t="inlineStr">
        <is>
          <t>No</t>
        </is>
      </c>
      <c r="B104" t="inlineStr">
        <is>
          <t>TT507 .B55 1984</t>
        </is>
      </c>
      <c r="C104" t="inlineStr">
        <is>
          <t>0                      TT 0507000B  55          1984</t>
        </is>
      </c>
      <c r="D104" t="inlineStr">
        <is>
          <t>The professional image : the total program for marketing yourself visually / by Susan Bixler ; illustrated by Linda Haas Baliko. Photographs by Kerry Hackney.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No</t>
        </is>
      </c>
      <c r="J104" t="inlineStr">
        <is>
          <t>0</t>
        </is>
      </c>
      <c r="K104" t="inlineStr">
        <is>
          <t>Bixler, Susan.</t>
        </is>
      </c>
      <c r="L104" t="inlineStr">
        <is>
          <t>New York : Putnam, 1984.</t>
        </is>
      </c>
      <c r="M104" t="inlineStr">
        <is>
          <t>1984</t>
        </is>
      </c>
      <c r="O104" t="inlineStr">
        <is>
          <t>eng</t>
        </is>
      </c>
      <c r="P104" t="inlineStr">
        <is>
          <t>nyu</t>
        </is>
      </c>
      <c r="R104" t="inlineStr">
        <is>
          <t xml:space="preserve">TT </t>
        </is>
      </c>
      <c r="S104" t="n">
        <v>17</v>
      </c>
      <c r="T104" t="n">
        <v>17</v>
      </c>
      <c r="U104" t="inlineStr">
        <is>
          <t>1998-06-09</t>
        </is>
      </c>
      <c r="V104" t="inlineStr">
        <is>
          <t>1998-06-09</t>
        </is>
      </c>
      <c r="W104" t="inlineStr">
        <is>
          <t>1990-02-28</t>
        </is>
      </c>
      <c r="X104" t="inlineStr">
        <is>
          <t>1990-02-28</t>
        </is>
      </c>
      <c r="Y104" t="n">
        <v>491</v>
      </c>
      <c r="Z104" t="n">
        <v>472</v>
      </c>
      <c r="AA104" t="n">
        <v>596</v>
      </c>
      <c r="AB104" t="n">
        <v>6</v>
      </c>
      <c r="AC104" t="n">
        <v>6</v>
      </c>
      <c r="AD104" t="n">
        <v>9</v>
      </c>
      <c r="AE104" t="n">
        <v>11</v>
      </c>
      <c r="AF104" t="n">
        <v>4</v>
      </c>
      <c r="AG104" t="n">
        <v>5</v>
      </c>
      <c r="AH104" t="n">
        <v>0</v>
      </c>
      <c r="AI104" t="n">
        <v>0</v>
      </c>
      <c r="AJ104" t="n">
        <v>3</v>
      </c>
      <c r="AK104" t="n">
        <v>3</v>
      </c>
      <c r="AL104" t="n">
        <v>3</v>
      </c>
      <c r="AM104" t="n">
        <v>3</v>
      </c>
      <c r="AN104" t="n">
        <v>0</v>
      </c>
      <c r="AO104" t="n">
        <v>1</v>
      </c>
      <c r="AP104" t="inlineStr">
        <is>
          <t>No</t>
        </is>
      </c>
      <c r="AQ104" t="inlineStr">
        <is>
          <t>Yes</t>
        </is>
      </c>
      <c r="AR104">
        <f>HYPERLINK("http://catalog.hathitrust.org/Record/000377416","HathiTrust Record")</f>
        <v/>
      </c>
      <c r="AS104">
        <f>HYPERLINK("https://creighton-primo.hosted.exlibrisgroup.com/primo-explore/search?tab=default_tab&amp;search_scope=EVERYTHING&amp;vid=01CRU&amp;lang=en_US&amp;offset=0&amp;query=any,contains,991000333489702656","Catalog Record")</f>
        <v/>
      </c>
      <c r="AT104">
        <f>HYPERLINK("http://www.worldcat.org/oclc/10208421","WorldCat Record")</f>
        <v/>
      </c>
      <c r="AU104" t="inlineStr">
        <is>
          <t>4084369:eng</t>
        </is>
      </c>
      <c r="AV104" t="inlineStr">
        <is>
          <t>10208421</t>
        </is>
      </c>
      <c r="AW104" t="inlineStr">
        <is>
          <t>991000333489702656</t>
        </is>
      </c>
      <c r="AX104" t="inlineStr">
        <is>
          <t>991000333489702656</t>
        </is>
      </c>
      <c r="AY104" t="inlineStr">
        <is>
          <t>2264347520002656</t>
        </is>
      </c>
      <c r="AZ104" t="inlineStr">
        <is>
          <t>BOOK</t>
        </is>
      </c>
      <c r="BB104" t="inlineStr">
        <is>
          <t>9780399129544</t>
        </is>
      </c>
      <c r="BC104" t="inlineStr">
        <is>
          <t>32285000072677</t>
        </is>
      </c>
      <c r="BD104" t="inlineStr">
        <is>
          <t>893224908</t>
        </is>
      </c>
    </row>
    <row r="105">
      <c r="A105" t="inlineStr">
        <is>
          <t>No</t>
        </is>
      </c>
      <c r="B105" t="inlineStr">
        <is>
          <t>TT507 .B67</t>
        </is>
      </c>
      <c r="C105" t="inlineStr">
        <is>
          <t>0                      TT 0507000B  67</t>
        </is>
      </c>
      <c r="D105" t="inlineStr">
        <is>
          <t>Careers and opportunities in fashion.</t>
        </is>
      </c>
      <c r="F105" t="inlineStr">
        <is>
          <t>No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K105" t="inlineStr">
        <is>
          <t>Brenner, Barbara.</t>
        </is>
      </c>
      <c r="L105" t="inlineStr">
        <is>
          <t>Dutton, 1964</t>
        </is>
      </c>
      <c r="M105" t="inlineStr">
        <is>
          <t>1964</t>
        </is>
      </c>
      <c r="O105" t="inlineStr">
        <is>
          <t>eng</t>
        </is>
      </c>
      <c r="P105" t="inlineStr">
        <is>
          <t xml:space="preserve">xx </t>
        </is>
      </c>
      <c r="R105" t="inlineStr">
        <is>
          <t xml:space="preserve">TT </t>
        </is>
      </c>
      <c r="S105" t="n">
        <v>1</v>
      </c>
      <c r="T105" t="n">
        <v>1</v>
      </c>
      <c r="U105" t="inlineStr">
        <is>
          <t>2003-09-03</t>
        </is>
      </c>
      <c r="V105" t="inlineStr">
        <is>
          <t>2003-09-03</t>
        </is>
      </c>
      <c r="W105" t="inlineStr">
        <is>
          <t>1997-08-29</t>
        </is>
      </c>
      <c r="X105" t="inlineStr">
        <is>
          <t>1997-08-29</t>
        </is>
      </c>
      <c r="Y105" t="n">
        <v>126</v>
      </c>
      <c r="Z105" t="n">
        <v>121</v>
      </c>
      <c r="AA105" t="n">
        <v>122</v>
      </c>
      <c r="AB105" t="n">
        <v>3</v>
      </c>
      <c r="AC105" t="n">
        <v>3</v>
      </c>
      <c r="AD105" t="n">
        <v>2</v>
      </c>
      <c r="AE105" t="n">
        <v>2</v>
      </c>
      <c r="AF105" t="n">
        <v>0</v>
      </c>
      <c r="AG105" t="n">
        <v>0</v>
      </c>
      <c r="AH105" t="n">
        <v>0</v>
      </c>
      <c r="AI105" t="n">
        <v>0</v>
      </c>
      <c r="AJ105" t="n">
        <v>0</v>
      </c>
      <c r="AK105" t="n">
        <v>0</v>
      </c>
      <c r="AL105" t="n">
        <v>2</v>
      </c>
      <c r="AM105" t="n">
        <v>2</v>
      </c>
      <c r="AN105" t="n">
        <v>0</v>
      </c>
      <c r="AO105" t="n">
        <v>0</v>
      </c>
      <c r="AP105" t="inlineStr">
        <is>
          <t>No</t>
        </is>
      </c>
      <c r="AQ105" t="inlineStr">
        <is>
          <t>Yes</t>
        </is>
      </c>
      <c r="AR105">
        <f>HYPERLINK("http://catalog.hathitrust.org/Record/009058991","HathiTrust Record")</f>
        <v/>
      </c>
      <c r="AS105">
        <f>HYPERLINK("https://creighton-primo.hosted.exlibrisgroup.com/primo-explore/search?tab=default_tab&amp;search_scope=EVERYTHING&amp;vid=01CRU&amp;lang=en_US&amp;offset=0&amp;query=any,contains,991003659189702656","Catalog Record")</f>
        <v/>
      </c>
      <c r="AT105">
        <f>HYPERLINK("http://www.worldcat.org/oclc/1283995","WorldCat Record")</f>
        <v/>
      </c>
      <c r="AU105" t="inlineStr">
        <is>
          <t>2191654:eng</t>
        </is>
      </c>
      <c r="AV105" t="inlineStr">
        <is>
          <t>1283995</t>
        </is>
      </c>
      <c r="AW105" t="inlineStr">
        <is>
          <t>991003659189702656</t>
        </is>
      </c>
      <c r="AX105" t="inlineStr">
        <is>
          <t>991003659189702656</t>
        </is>
      </c>
      <c r="AY105" t="inlineStr">
        <is>
          <t>2261749690002656</t>
        </is>
      </c>
      <c r="AZ105" t="inlineStr">
        <is>
          <t>BOOK</t>
        </is>
      </c>
      <c r="BC105" t="inlineStr">
        <is>
          <t>32285003120044</t>
        </is>
      </c>
      <c r="BD105" t="inlineStr">
        <is>
          <t>893875010</t>
        </is>
      </c>
    </row>
    <row r="106">
      <c r="A106" t="inlineStr">
        <is>
          <t>No</t>
        </is>
      </c>
      <c r="B106" t="inlineStr">
        <is>
          <t>TT507 .B68</t>
        </is>
      </c>
      <c r="C106" t="inlineStr">
        <is>
          <t>0                      TT 0507000B  68</t>
        </is>
      </c>
      <c r="D106" t="inlineStr">
        <is>
          <t>The theory of fashion design / [by] Helen L. Brockman.</t>
        </is>
      </c>
      <c r="F106" t="inlineStr">
        <is>
          <t>No</t>
        </is>
      </c>
      <c r="G106" t="inlineStr">
        <is>
          <t>1</t>
        </is>
      </c>
      <c r="H106" t="inlineStr">
        <is>
          <t>No</t>
        </is>
      </c>
      <c r="I106" t="inlineStr">
        <is>
          <t>No</t>
        </is>
      </c>
      <c r="J106" t="inlineStr">
        <is>
          <t>0</t>
        </is>
      </c>
      <c r="K106" t="inlineStr">
        <is>
          <t>Brockman, Helen L.</t>
        </is>
      </c>
      <c r="L106" t="inlineStr">
        <is>
          <t>New York : Wiley, [1965]</t>
        </is>
      </c>
      <c r="M106" t="inlineStr">
        <is>
          <t>1965</t>
        </is>
      </c>
      <c r="O106" t="inlineStr">
        <is>
          <t>eng</t>
        </is>
      </c>
      <c r="P106" t="inlineStr">
        <is>
          <t>nyu</t>
        </is>
      </c>
      <c r="R106" t="inlineStr">
        <is>
          <t xml:space="preserve">TT </t>
        </is>
      </c>
      <c r="S106" t="n">
        <v>4</v>
      </c>
      <c r="T106" t="n">
        <v>4</v>
      </c>
      <c r="U106" t="inlineStr">
        <is>
          <t>2003-02-10</t>
        </is>
      </c>
      <c r="V106" t="inlineStr">
        <is>
          <t>2003-02-10</t>
        </is>
      </c>
      <c r="W106" t="inlineStr">
        <is>
          <t>1990-03-22</t>
        </is>
      </c>
      <c r="X106" t="inlineStr">
        <is>
          <t>1990-03-22</t>
        </is>
      </c>
      <c r="Y106" t="n">
        <v>504</v>
      </c>
      <c r="Z106" t="n">
        <v>424</v>
      </c>
      <c r="AA106" t="n">
        <v>429</v>
      </c>
      <c r="AB106" t="n">
        <v>5</v>
      </c>
      <c r="AC106" t="n">
        <v>5</v>
      </c>
      <c r="AD106" t="n">
        <v>15</v>
      </c>
      <c r="AE106" t="n">
        <v>15</v>
      </c>
      <c r="AF106" t="n">
        <v>7</v>
      </c>
      <c r="AG106" t="n">
        <v>7</v>
      </c>
      <c r="AH106" t="n">
        <v>1</v>
      </c>
      <c r="AI106" t="n">
        <v>1</v>
      </c>
      <c r="AJ106" t="n">
        <v>3</v>
      </c>
      <c r="AK106" t="n">
        <v>3</v>
      </c>
      <c r="AL106" t="n">
        <v>4</v>
      </c>
      <c r="AM106" t="n">
        <v>4</v>
      </c>
      <c r="AN106" t="n">
        <v>0</v>
      </c>
      <c r="AO106" t="n">
        <v>0</v>
      </c>
      <c r="AP106" t="inlineStr">
        <is>
          <t>No</t>
        </is>
      </c>
      <c r="AQ106" t="inlineStr">
        <is>
          <t>No</t>
        </is>
      </c>
      <c r="AS106">
        <f>HYPERLINK("https://creighton-primo.hosted.exlibrisgroup.com/primo-explore/search?tab=default_tab&amp;search_scope=EVERYTHING&amp;vid=01CRU&amp;lang=en_US&amp;offset=0&amp;query=any,contains,991002872849702656","Catalog Record")</f>
        <v/>
      </c>
      <c r="AT106">
        <f>HYPERLINK("http://www.worldcat.org/oclc/500788","WorldCat Record")</f>
        <v/>
      </c>
      <c r="AU106" t="inlineStr">
        <is>
          <t>1809428291:eng</t>
        </is>
      </c>
      <c r="AV106" t="inlineStr">
        <is>
          <t>500788</t>
        </is>
      </c>
      <c r="AW106" t="inlineStr">
        <is>
          <t>991002872849702656</t>
        </is>
      </c>
      <c r="AX106" t="inlineStr">
        <is>
          <t>991002872849702656</t>
        </is>
      </c>
      <c r="AY106" t="inlineStr">
        <is>
          <t>2255229090002656</t>
        </is>
      </c>
      <c r="AZ106" t="inlineStr">
        <is>
          <t>BOOK</t>
        </is>
      </c>
      <c r="BC106" t="inlineStr">
        <is>
          <t>32285000091990</t>
        </is>
      </c>
      <c r="BD106" t="inlineStr">
        <is>
          <t>893717027</t>
        </is>
      </c>
    </row>
    <row r="107">
      <c r="A107" t="inlineStr">
        <is>
          <t>No</t>
        </is>
      </c>
      <c r="B107" t="inlineStr">
        <is>
          <t>TT507 .E68 1976</t>
        </is>
      </c>
      <c r="C107" t="inlineStr">
        <is>
          <t>0                      TT 0507000E  68          1976</t>
        </is>
      </c>
      <c r="D107" t="inlineStr">
        <is>
          <t>Fashion drawings and illustrations from "Harper's bazar" / selected, and with an introd. by Stella Blum.</t>
        </is>
      </c>
      <c r="F107" t="inlineStr">
        <is>
          <t>No</t>
        </is>
      </c>
      <c r="G107" t="inlineStr">
        <is>
          <t>1</t>
        </is>
      </c>
      <c r="H107" t="inlineStr">
        <is>
          <t>No</t>
        </is>
      </c>
      <c r="I107" t="inlineStr">
        <is>
          <t>No</t>
        </is>
      </c>
      <c r="J107" t="inlineStr">
        <is>
          <t>0</t>
        </is>
      </c>
      <c r="K107" t="inlineStr">
        <is>
          <t>Erté.</t>
        </is>
      </c>
      <c r="L107" t="inlineStr">
        <is>
          <t>New York : Dover Publications, 1976.</t>
        </is>
      </c>
      <c r="M107" t="inlineStr">
        <is>
          <t>1976</t>
        </is>
      </c>
      <c r="O107" t="inlineStr">
        <is>
          <t>eng</t>
        </is>
      </c>
      <c r="P107" t="inlineStr">
        <is>
          <t>nyu</t>
        </is>
      </c>
      <c r="R107" t="inlineStr">
        <is>
          <t xml:space="preserve">TT </t>
        </is>
      </c>
      <c r="S107" t="n">
        <v>4</v>
      </c>
      <c r="T107" t="n">
        <v>4</v>
      </c>
      <c r="U107" t="inlineStr">
        <is>
          <t>2003-11-13</t>
        </is>
      </c>
      <c r="V107" t="inlineStr">
        <is>
          <t>2003-11-13</t>
        </is>
      </c>
      <c r="W107" t="inlineStr">
        <is>
          <t>1999-03-31</t>
        </is>
      </c>
      <c r="X107" t="inlineStr">
        <is>
          <t>1999-03-31</t>
        </is>
      </c>
      <c r="Y107" t="n">
        <v>601</v>
      </c>
      <c r="Z107" t="n">
        <v>467</v>
      </c>
      <c r="AA107" t="n">
        <v>469</v>
      </c>
      <c r="AB107" t="n">
        <v>3</v>
      </c>
      <c r="AC107" t="n">
        <v>3</v>
      </c>
      <c r="AD107" t="n">
        <v>8</v>
      </c>
      <c r="AE107" t="n">
        <v>8</v>
      </c>
      <c r="AF107" t="n">
        <v>2</v>
      </c>
      <c r="AG107" t="n">
        <v>2</v>
      </c>
      <c r="AH107" t="n">
        <v>2</v>
      </c>
      <c r="AI107" t="n">
        <v>2</v>
      </c>
      <c r="AJ107" t="n">
        <v>3</v>
      </c>
      <c r="AK107" t="n">
        <v>3</v>
      </c>
      <c r="AL107" t="n">
        <v>2</v>
      </c>
      <c r="AM107" t="n">
        <v>2</v>
      </c>
      <c r="AN107" t="n">
        <v>0</v>
      </c>
      <c r="AO107" t="n">
        <v>0</v>
      </c>
      <c r="AP107" t="inlineStr">
        <is>
          <t>No</t>
        </is>
      </c>
      <c r="AQ107" t="inlineStr">
        <is>
          <t>Yes</t>
        </is>
      </c>
      <c r="AR107">
        <f>HYPERLINK("http://catalog.hathitrust.org/Record/000251436","HathiTrust Record")</f>
        <v/>
      </c>
      <c r="AS107">
        <f>HYPERLINK("https://creighton-primo.hosted.exlibrisgroup.com/primo-explore/search?tab=default_tab&amp;search_scope=EVERYTHING&amp;vid=01CRU&amp;lang=en_US&amp;offset=0&amp;query=any,contains,991004315689702656","Catalog Record")</f>
        <v/>
      </c>
      <c r="AT107">
        <f>HYPERLINK("http://www.worldcat.org/oclc/3003691","WorldCat Record")</f>
        <v/>
      </c>
      <c r="AU107" t="inlineStr">
        <is>
          <t>253236690:eng</t>
        </is>
      </c>
      <c r="AV107" t="inlineStr">
        <is>
          <t>3003691</t>
        </is>
      </c>
      <c r="AW107" t="inlineStr">
        <is>
          <t>991004315689702656</t>
        </is>
      </c>
      <c r="AX107" t="inlineStr">
        <is>
          <t>991004315689702656</t>
        </is>
      </c>
      <c r="AY107" t="inlineStr">
        <is>
          <t>2271010130002656</t>
        </is>
      </c>
      <c r="AZ107" t="inlineStr">
        <is>
          <t>BOOK</t>
        </is>
      </c>
      <c r="BB107" t="inlineStr">
        <is>
          <t>9780486233970</t>
        </is>
      </c>
      <c r="BC107" t="inlineStr">
        <is>
          <t>32285003548319</t>
        </is>
      </c>
      <c r="BD107" t="inlineStr">
        <is>
          <t>893624588</t>
        </is>
      </c>
    </row>
    <row r="108">
      <c r="A108" t="inlineStr">
        <is>
          <t>No</t>
        </is>
      </c>
      <c r="B108" t="inlineStr">
        <is>
          <t>TT507 .E69 1981</t>
        </is>
      </c>
      <c r="C108" t="inlineStr">
        <is>
          <t>0                      TT 0507000E  69          1981</t>
        </is>
      </c>
      <c r="D108" t="inlineStr">
        <is>
          <t>Erté's fashion designs : 218 illustrations from "Harper's bazar," 1918-1932 / Erté.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K108" t="inlineStr">
        <is>
          <t>Erté.</t>
        </is>
      </c>
      <c r="L108" t="inlineStr">
        <is>
          <t>New York : Dover Publications, 1981.</t>
        </is>
      </c>
      <c r="M108" t="inlineStr">
        <is>
          <t>1981</t>
        </is>
      </c>
      <c r="O108" t="inlineStr">
        <is>
          <t>eng</t>
        </is>
      </c>
      <c r="P108" t="inlineStr">
        <is>
          <t>nyu</t>
        </is>
      </c>
      <c r="R108" t="inlineStr">
        <is>
          <t xml:space="preserve">TT </t>
        </is>
      </c>
      <c r="S108" t="n">
        <v>5</v>
      </c>
      <c r="T108" t="n">
        <v>5</v>
      </c>
      <c r="U108" t="inlineStr">
        <is>
          <t>2003-11-13</t>
        </is>
      </c>
      <c r="V108" t="inlineStr">
        <is>
          <t>2003-11-13</t>
        </is>
      </c>
      <c r="W108" t="inlineStr">
        <is>
          <t>1999-03-03</t>
        </is>
      </c>
      <c r="X108" t="inlineStr">
        <is>
          <t>1999-03-03</t>
        </is>
      </c>
      <c r="Y108" t="n">
        <v>429</v>
      </c>
      <c r="Z108" t="n">
        <v>331</v>
      </c>
      <c r="AA108" t="n">
        <v>332</v>
      </c>
      <c r="AB108" t="n">
        <v>4</v>
      </c>
      <c r="AC108" t="n">
        <v>4</v>
      </c>
      <c r="AD108" t="n">
        <v>8</v>
      </c>
      <c r="AE108" t="n">
        <v>8</v>
      </c>
      <c r="AF108" t="n">
        <v>2</v>
      </c>
      <c r="AG108" t="n">
        <v>2</v>
      </c>
      <c r="AH108" t="n">
        <v>0</v>
      </c>
      <c r="AI108" t="n">
        <v>0</v>
      </c>
      <c r="AJ108" t="n">
        <v>3</v>
      </c>
      <c r="AK108" t="n">
        <v>3</v>
      </c>
      <c r="AL108" t="n">
        <v>3</v>
      </c>
      <c r="AM108" t="n">
        <v>3</v>
      </c>
      <c r="AN108" t="n">
        <v>0</v>
      </c>
      <c r="AO108" t="n">
        <v>0</v>
      </c>
      <c r="AP108" t="inlineStr">
        <is>
          <t>No</t>
        </is>
      </c>
      <c r="AQ108" t="inlineStr">
        <is>
          <t>No</t>
        </is>
      </c>
      <c r="AS108">
        <f>HYPERLINK("https://creighton-primo.hosted.exlibrisgroup.com/primo-explore/search?tab=default_tab&amp;search_scope=EVERYTHING&amp;vid=01CRU&amp;lang=en_US&amp;offset=0&amp;query=any,contains,991005209899702656","Catalog Record")</f>
        <v/>
      </c>
      <c r="AT108">
        <f>HYPERLINK("http://www.worldcat.org/oclc/8157049","WorldCat Record")</f>
        <v/>
      </c>
      <c r="AU108" t="inlineStr">
        <is>
          <t>1024900413:eng</t>
        </is>
      </c>
      <c r="AV108" t="inlineStr">
        <is>
          <t>8157049</t>
        </is>
      </c>
      <c r="AW108" t="inlineStr">
        <is>
          <t>991005209899702656</t>
        </is>
      </c>
      <c r="AX108" t="inlineStr">
        <is>
          <t>991005209899702656</t>
        </is>
      </c>
      <c r="AY108" t="inlineStr">
        <is>
          <t>2269628100002656</t>
        </is>
      </c>
      <c r="AZ108" t="inlineStr">
        <is>
          <t>BOOK</t>
        </is>
      </c>
      <c r="BB108" t="inlineStr">
        <is>
          <t>9780486242033</t>
        </is>
      </c>
      <c r="BC108" t="inlineStr">
        <is>
          <t>32285003529046</t>
        </is>
      </c>
      <c r="BD108" t="inlineStr">
        <is>
          <t>893795787</t>
        </is>
      </c>
    </row>
    <row r="109">
      <c r="A109" t="inlineStr">
        <is>
          <t>No</t>
        </is>
      </c>
      <c r="B109" t="inlineStr">
        <is>
          <t>TT507 .E83 1993</t>
        </is>
      </c>
      <c r="C109" t="inlineStr">
        <is>
          <t>0                      TT 0507000E  83          1993</t>
        </is>
      </c>
      <c r="D109" t="inlineStr">
        <is>
          <t>How to make historic American costumes / by Mary Evans and William-Alan Landes ; illustrated by Elizabeth Brooks ... [et al.].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No</t>
        </is>
      </c>
      <c r="J109" t="inlineStr">
        <is>
          <t>0</t>
        </is>
      </c>
      <c r="K109" t="inlineStr">
        <is>
          <t>Evans, Mary, 1890-1970.</t>
        </is>
      </c>
      <c r="L109" t="inlineStr">
        <is>
          <t>Studio City, CA : Players Press, c1993.</t>
        </is>
      </c>
      <c r="M109" t="inlineStr">
        <is>
          <t>1993</t>
        </is>
      </c>
      <c r="N109" t="inlineStr">
        <is>
          <t>Rev. and updated.</t>
        </is>
      </c>
      <c r="O109" t="inlineStr">
        <is>
          <t>eng</t>
        </is>
      </c>
      <c r="P109" t="inlineStr">
        <is>
          <t>cau</t>
        </is>
      </c>
      <c r="R109" t="inlineStr">
        <is>
          <t xml:space="preserve">TT </t>
        </is>
      </c>
      <c r="S109" t="n">
        <v>9</v>
      </c>
      <c r="T109" t="n">
        <v>9</v>
      </c>
      <c r="U109" t="inlineStr">
        <is>
          <t>2005-12-05</t>
        </is>
      </c>
      <c r="V109" t="inlineStr">
        <is>
          <t>2005-12-05</t>
        </is>
      </c>
      <c r="W109" t="inlineStr">
        <is>
          <t>1996-04-24</t>
        </is>
      </c>
      <c r="X109" t="inlineStr">
        <is>
          <t>1996-04-24</t>
        </is>
      </c>
      <c r="Y109" t="n">
        <v>348</v>
      </c>
      <c r="Z109" t="n">
        <v>339</v>
      </c>
      <c r="AA109" t="n">
        <v>1081</v>
      </c>
      <c r="AB109" t="n">
        <v>2</v>
      </c>
      <c r="AC109" t="n">
        <v>12</v>
      </c>
      <c r="AD109" t="n">
        <v>1</v>
      </c>
      <c r="AE109" t="n">
        <v>17</v>
      </c>
      <c r="AF109" t="n">
        <v>0</v>
      </c>
      <c r="AG109" t="n">
        <v>7</v>
      </c>
      <c r="AH109" t="n">
        <v>1</v>
      </c>
      <c r="AI109" t="n">
        <v>3</v>
      </c>
      <c r="AJ109" t="n">
        <v>0</v>
      </c>
      <c r="AK109" t="n">
        <v>4</v>
      </c>
      <c r="AL109" t="n">
        <v>0</v>
      </c>
      <c r="AM109" t="n">
        <v>5</v>
      </c>
      <c r="AN109" t="n">
        <v>0</v>
      </c>
      <c r="AO109" t="n">
        <v>0</v>
      </c>
      <c r="AP109" t="inlineStr">
        <is>
          <t>No</t>
        </is>
      </c>
      <c r="AQ109" t="inlineStr">
        <is>
          <t>No</t>
        </is>
      </c>
      <c r="AS109">
        <f>HYPERLINK("https://creighton-primo.hosted.exlibrisgroup.com/primo-explore/search?tab=default_tab&amp;search_scope=EVERYTHING&amp;vid=01CRU&amp;lang=en_US&amp;offset=0&amp;query=any,contains,991002251789702656","Catalog Record")</f>
        <v/>
      </c>
      <c r="AT109">
        <f>HYPERLINK("http://www.worldcat.org/oclc/29181784","WorldCat Record")</f>
        <v/>
      </c>
      <c r="AU109" t="inlineStr">
        <is>
          <t>114359254:eng</t>
        </is>
      </c>
      <c r="AV109" t="inlineStr">
        <is>
          <t>29181784</t>
        </is>
      </c>
      <c r="AW109" t="inlineStr">
        <is>
          <t>991002251789702656</t>
        </is>
      </c>
      <c r="AX109" t="inlineStr">
        <is>
          <t>991002251789702656</t>
        </is>
      </c>
      <c r="AY109" t="inlineStr">
        <is>
          <t>2254701510002656</t>
        </is>
      </c>
      <c r="AZ109" t="inlineStr">
        <is>
          <t>BOOK</t>
        </is>
      </c>
      <c r="BB109" t="inlineStr">
        <is>
          <t>9780887346361</t>
        </is>
      </c>
      <c r="BC109" t="inlineStr">
        <is>
          <t>32285002156825</t>
        </is>
      </c>
      <c r="BD109" t="inlineStr">
        <is>
          <t>893439944</t>
        </is>
      </c>
    </row>
    <row r="110">
      <c r="A110" t="inlineStr">
        <is>
          <t>No</t>
        </is>
      </c>
      <c r="B110" t="inlineStr">
        <is>
          <t>TT507 .G68 1996</t>
        </is>
      </c>
      <c r="C110" t="inlineStr">
        <is>
          <t>0                      TT 0507000G  68          1996</t>
        </is>
      </c>
      <c r="D110" t="inlineStr">
        <is>
          <t>Create your own stage costumes / Jacquie Govier and Gill Davies.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No</t>
        </is>
      </c>
      <c r="J110" t="inlineStr">
        <is>
          <t>0</t>
        </is>
      </c>
      <c r="K110" t="inlineStr">
        <is>
          <t>Govier, Jacquie.</t>
        </is>
      </c>
      <c r="L110" t="inlineStr">
        <is>
          <t>London : A &amp; C Black ; Portsmouth, NH. : Heineman, 1996.</t>
        </is>
      </c>
      <c r="M110" t="inlineStr">
        <is>
          <t>1996</t>
        </is>
      </c>
      <c r="O110" t="inlineStr">
        <is>
          <t>eng</t>
        </is>
      </c>
      <c r="P110" t="inlineStr">
        <is>
          <t>nhu</t>
        </is>
      </c>
      <c r="R110" t="inlineStr">
        <is>
          <t xml:space="preserve">TT </t>
        </is>
      </c>
      <c r="S110" t="n">
        <v>13</v>
      </c>
      <c r="T110" t="n">
        <v>13</v>
      </c>
      <c r="U110" t="inlineStr">
        <is>
          <t>2005-10-06</t>
        </is>
      </c>
      <c r="V110" t="inlineStr">
        <is>
          <t>2005-10-06</t>
        </is>
      </c>
      <c r="W110" t="inlineStr">
        <is>
          <t>1996-07-15</t>
        </is>
      </c>
      <c r="X110" t="inlineStr">
        <is>
          <t>1996-07-15</t>
        </is>
      </c>
      <c r="Y110" t="n">
        <v>279</v>
      </c>
      <c r="Z110" t="n">
        <v>187</v>
      </c>
      <c r="AA110" t="n">
        <v>190</v>
      </c>
      <c r="AB110" t="n">
        <v>3</v>
      </c>
      <c r="AC110" t="n">
        <v>3</v>
      </c>
      <c r="AD110" t="n">
        <v>9</v>
      </c>
      <c r="AE110" t="n">
        <v>9</v>
      </c>
      <c r="AF110" t="n">
        <v>3</v>
      </c>
      <c r="AG110" t="n">
        <v>3</v>
      </c>
      <c r="AH110" t="n">
        <v>4</v>
      </c>
      <c r="AI110" t="n">
        <v>4</v>
      </c>
      <c r="AJ110" t="n">
        <v>3</v>
      </c>
      <c r="AK110" t="n">
        <v>3</v>
      </c>
      <c r="AL110" t="n">
        <v>2</v>
      </c>
      <c r="AM110" t="n">
        <v>2</v>
      </c>
      <c r="AN110" t="n">
        <v>0</v>
      </c>
      <c r="AO110" t="n">
        <v>0</v>
      </c>
      <c r="AP110" t="inlineStr">
        <is>
          <t>No</t>
        </is>
      </c>
      <c r="AQ110" t="inlineStr">
        <is>
          <t>No</t>
        </is>
      </c>
      <c r="AS110">
        <f>HYPERLINK("https://creighton-primo.hosted.exlibrisgroup.com/primo-explore/search?tab=default_tab&amp;search_scope=EVERYTHING&amp;vid=01CRU&amp;lang=en_US&amp;offset=0&amp;query=any,contains,991002648309702656","Catalog Record")</f>
        <v/>
      </c>
      <c r="AT110">
        <f>HYPERLINK("http://www.worldcat.org/oclc/35207958","WorldCat Record")</f>
        <v/>
      </c>
      <c r="AU110" t="inlineStr">
        <is>
          <t>39637786:eng</t>
        </is>
      </c>
      <c r="AV110" t="inlineStr">
        <is>
          <t>35207958</t>
        </is>
      </c>
      <c r="AW110" t="inlineStr">
        <is>
          <t>991002648309702656</t>
        </is>
      </c>
      <c r="AX110" t="inlineStr">
        <is>
          <t>991002648309702656</t>
        </is>
      </c>
      <c r="AY110" t="inlineStr">
        <is>
          <t>2262426810002656</t>
        </is>
      </c>
      <c r="AZ110" t="inlineStr">
        <is>
          <t>BOOK</t>
        </is>
      </c>
      <c r="BB110" t="inlineStr">
        <is>
          <t>9780435086756</t>
        </is>
      </c>
      <c r="BC110" t="inlineStr">
        <is>
          <t>32285002212313</t>
        </is>
      </c>
      <c r="BD110" t="inlineStr">
        <is>
          <t>893691836</t>
        </is>
      </c>
    </row>
    <row r="111">
      <c r="A111" t="inlineStr">
        <is>
          <t>No</t>
        </is>
      </c>
      <c r="B111" t="inlineStr">
        <is>
          <t>TT507 .I46 1992</t>
        </is>
      </c>
      <c r="C111" t="inlineStr">
        <is>
          <t>0                      TT 0507000I  46          1992</t>
        </is>
      </c>
      <c r="D111" t="inlineStr">
        <is>
          <t>The costume designer's handbook : a complete guide for amateur and professional costume designers / Rosemary Ingham, Liz Covey.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K111" t="inlineStr">
        <is>
          <t>Ingham, Rosemary.</t>
        </is>
      </c>
      <c r="L111" t="inlineStr">
        <is>
          <t>Portsmouth, NH : Heinemann, c1992.</t>
        </is>
      </c>
      <c r="M111" t="inlineStr">
        <is>
          <t>1992</t>
        </is>
      </c>
      <c r="N111" t="inlineStr">
        <is>
          <t>2nd ed., Rev. and updated.</t>
        </is>
      </c>
      <c r="O111" t="inlineStr">
        <is>
          <t>eng</t>
        </is>
      </c>
      <c r="P111" t="inlineStr">
        <is>
          <t>nhu</t>
        </is>
      </c>
      <c r="R111" t="inlineStr">
        <is>
          <t xml:space="preserve">TT </t>
        </is>
      </c>
      <c r="S111" t="n">
        <v>12</v>
      </c>
      <c r="T111" t="n">
        <v>12</v>
      </c>
      <c r="U111" t="inlineStr">
        <is>
          <t>2003-09-02</t>
        </is>
      </c>
      <c r="V111" t="inlineStr">
        <is>
          <t>2003-09-02</t>
        </is>
      </c>
      <c r="W111" t="inlineStr">
        <is>
          <t>1996-05-14</t>
        </is>
      </c>
      <c r="X111" t="inlineStr">
        <is>
          <t>1996-05-14</t>
        </is>
      </c>
      <c r="Y111" t="n">
        <v>898</v>
      </c>
      <c r="Z111" t="n">
        <v>805</v>
      </c>
      <c r="AA111" t="n">
        <v>1317</v>
      </c>
      <c r="AB111" t="n">
        <v>8</v>
      </c>
      <c r="AC111" t="n">
        <v>11</v>
      </c>
      <c r="AD111" t="n">
        <v>27</v>
      </c>
      <c r="AE111" t="n">
        <v>35</v>
      </c>
      <c r="AF111" t="n">
        <v>12</v>
      </c>
      <c r="AG111" t="n">
        <v>17</v>
      </c>
      <c r="AH111" t="n">
        <v>5</v>
      </c>
      <c r="AI111" t="n">
        <v>7</v>
      </c>
      <c r="AJ111" t="n">
        <v>10</v>
      </c>
      <c r="AK111" t="n">
        <v>13</v>
      </c>
      <c r="AL111" t="n">
        <v>7</v>
      </c>
      <c r="AM111" t="n">
        <v>7</v>
      </c>
      <c r="AN111" t="n">
        <v>0</v>
      </c>
      <c r="AO111" t="n">
        <v>0</v>
      </c>
      <c r="AP111" t="inlineStr">
        <is>
          <t>No</t>
        </is>
      </c>
      <c r="AQ111" t="inlineStr">
        <is>
          <t>Yes</t>
        </is>
      </c>
      <c r="AR111">
        <f>HYPERLINK("http://catalog.hathitrust.org/Record/002589989","HathiTrust Record")</f>
        <v/>
      </c>
      <c r="AS111">
        <f>HYPERLINK("https://creighton-primo.hosted.exlibrisgroup.com/primo-explore/search?tab=default_tab&amp;search_scope=EVERYTHING&amp;vid=01CRU&amp;lang=en_US&amp;offset=0&amp;query=any,contains,991002021949702656","Catalog Record")</f>
        <v/>
      </c>
      <c r="AT111">
        <f>HYPERLINK("http://www.worldcat.org/oclc/25713499","WorldCat Record")</f>
        <v/>
      </c>
      <c r="AU111" t="inlineStr">
        <is>
          <t>836704991:eng</t>
        </is>
      </c>
      <c r="AV111" t="inlineStr">
        <is>
          <t>25713499</t>
        </is>
      </c>
      <c r="AW111" t="inlineStr">
        <is>
          <t>991002021949702656</t>
        </is>
      </c>
      <c r="AX111" t="inlineStr">
        <is>
          <t>991002021949702656</t>
        </is>
      </c>
      <c r="AY111" t="inlineStr">
        <is>
          <t>2262707940002656</t>
        </is>
      </c>
      <c r="AZ111" t="inlineStr">
        <is>
          <t>BOOK</t>
        </is>
      </c>
      <c r="BB111" t="inlineStr">
        <is>
          <t>9780435086077</t>
        </is>
      </c>
      <c r="BC111" t="inlineStr">
        <is>
          <t>32285002167434</t>
        </is>
      </c>
      <c r="BD111" t="inlineStr">
        <is>
          <t>893703580</t>
        </is>
      </c>
    </row>
    <row r="112">
      <c r="A112" t="inlineStr">
        <is>
          <t>No</t>
        </is>
      </c>
      <c r="B112" t="inlineStr">
        <is>
          <t>TT507 .I47 1992</t>
        </is>
      </c>
      <c r="C112" t="inlineStr">
        <is>
          <t>0                      TT 0507000I  47          1992</t>
        </is>
      </c>
      <c r="D112" t="inlineStr">
        <is>
          <t>The costume technician's handbook : a complete guide for amateur and professional costume technicians / Rosemary Ingham, Liz Covey.</t>
        </is>
      </c>
      <c r="F112" t="inlineStr">
        <is>
          <t>No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K112" t="inlineStr">
        <is>
          <t>Ingham, Rosemary.</t>
        </is>
      </c>
      <c r="L112" t="inlineStr">
        <is>
          <t>Portsmouth, NH : Heinemann, c1992.</t>
        </is>
      </c>
      <c r="M112" t="inlineStr">
        <is>
          <t>1992</t>
        </is>
      </c>
      <c r="N112" t="inlineStr">
        <is>
          <t>[Rev. ed.].</t>
        </is>
      </c>
      <c r="O112" t="inlineStr">
        <is>
          <t>eng</t>
        </is>
      </c>
      <c r="P112" t="inlineStr">
        <is>
          <t>nhu</t>
        </is>
      </c>
      <c r="R112" t="inlineStr">
        <is>
          <t xml:space="preserve">TT </t>
        </is>
      </c>
      <c r="S112" t="n">
        <v>12</v>
      </c>
      <c r="T112" t="n">
        <v>12</v>
      </c>
      <c r="U112" t="inlineStr">
        <is>
          <t>2007-08-22</t>
        </is>
      </c>
      <c r="V112" t="inlineStr">
        <is>
          <t>2007-08-22</t>
        </is>
      </c>
      <c r="W112" t="inlineStr">
        <is>
          <t>1996-05-14</t>
        </is>
      </c>
      <c r="X112" t="inlineStr">
        <is>
          <t>1996-05-14</t>
        </is>
      </c>
      <c r="Y112" t="n">
        <v>576</v>
      </c>
      <c r="Z112" t="n">
        <v>514</v>
      </c>
      <c r="AA112" t="n">
        <v>522</v>
      </c>
      <c r="AB112" t="n">
        <v>4</v>
      </c>
      <c r="AC112" t="n">
        <v>4</v>
      </c>
      <c r="AD112" t="n">
        <v>14</v>
      </c>
      <c r="AE112" t="n">
        <v>15</v>
      </c>
      <c r="AF112" t="n">
        <v>5</v>
      </c>
      <c r="AG112" t="n">
        <v>6</v>
      </c>
      <c r="AH112" t="n">
        <v>4</v>
      </c>
      <c r="AI112" t="n">
        <v>4</v>
      </c>
      <c r="AJ112" t="n">
        <v>5</v>
      </c>
      <c r="AK112" t="n">
        <v>6</v>
      </c>
      <c r="AL112" t="n">
        <v>3</v>
      </c>
      <c r="AM112" t="n">
        <v>3</v>
      </c>
      <c r="AN112" t="n">
        <v>0</v>
      </c>
      <c r="AO112" t="n">
        <v>0</v>
      </c>
      <c r="AP112" t="inlineStr">
        <is>
          <t>No</t>
        </is>
      </c>
      <c r="AQ112" t="inlineStr">
        <is>
          <t>Yes</t>
        </is>
      </c>
      <c r="AR112">
        <f>HYPERLINK("http://catalog.hathitrust.org/Record/004525337","HathiTrust Record")</f>
        <v/>
      </c>
      <c r="AS112">
        <f>HYPERLINK("https://creighton-primo.hosted.exlibrisgroup.com/primo-explore/search?tab=default_tab&amp;search_scope=EVERYTHING&amp;vid=01CRU&amp;lang=en_US&amp;offset=0&amp;query=any,contains,991002023969702656","Catalog Record")</f>
        <v/>
      </c>
      <c r="AT112">
        <f>HYPERLINK("http://www.worldcat.org/oclc/25747583","WorldCat Record")</f>
        <v/>
      </c>
      <c r="AU112" t="inlineStr">
        <is>
          <t>29112913:eng</t>
        </is>
      </c>
      <c r="AV112" t="inlineStr">
        <is>
          <t>25747583</t>
        </is>
      </c>
      <c r="AW112" t="inlineStr">
        <is>
          <t>991002023969702656</t>
        </is>
      </c>
      <c r="AX112" t="inlineStr">
        <is>
          <t>991002023969702656</t>
        </is>
      </c>
      <c r="AY112" t="inlineStr">
        <is>
          <t>2269902960002656</t>
        </is>
      </c>
      <c r="AZ112" t="inlineStr">
        <is>
          <t>BOOK</t>
        </is>
      </c>
      <c r="BB112" t="inlineStr">
        <is>
          <t>9780435086107</t>
        </is>
      </c>
      <c r="BC112" t="inlineStr">
        <is>
          <t>32285002167764</t>
        </is>
      </c>
      <c r="BD112" t="inlineStr">
        <is>
          <t>893596944</t>
        </is>
      </c>
    </row>
    <row r="113">
      <c r="A113" t="inlineStr">
        <is>
          <t>No</t>
        </is>
      </c>
      <c r="B113" t="inlineStr">
        <is>
          <t>TT507 .K415 1982</t>
        </is>
      </c>
      <c r="C113" t="inlineStr">
        <is>
          <t>0                      TT 0507000K  415         1982</t>
        </is>
      </c>
      <c r="D113" t="inlineStr">
        <is>
          <t>The success image : a guide for the better-dressed business woman / Vicki Keltner, Mike Holsey.</t>
        </is>
      </c>
      <c r="F113" t="inlineStr">
        <is>
          <t>No</t>
        </is>
      </c>
      <c r="G113" t="inlineStr">
        <is>
          <t>1</t>
        </is>
      </c>
      <c r="H113" t="inlineStr">
        <is>
          <t>No</t>
        </is>
      </c>
      <c r="I113" t="inlineStr">
        <is>
          <t>No</t>
        </is>
      </c>
      <c r="J113" t="inlineStr">
        <is>
          <t>0</t>
        </is>
      </c>
      <c r="K113" t="inlineStr">
        <is>
          <t>Keltner, Vicki.</t>
        </is>
      </c>
      <c r="L113" t="inlineStr">
        <is>
          <t>Houston : Gulf Pub. Co., c1982.</t>
        </is>
      </c>
      <c r="M113" t="inlineStr">
        <is>
          <t>1982</t>
        </is>
      </c>
      <c r="O113" t="inlineStr">
        <is>
          <t>eng</t>
        </is>
      </c>
      <c r="P113" t="inlineStr">
        <is>
          <t>txu</t>
        </is>
      </c>
      <c r="R113" t="inlineStr">
        <is>
          <t xml:space="preserve">TT </t>
        </is>
      </c>
      <c r="S113" t="n">
        <v>3</v>
      </c>
      <c r="T113" t="n">
        <v>3</v>
      </c>
      <c r="U113" t="inlineStr">
        <is>
          <t>1995-05-02</t>
        </is>
      </c>
      <c r="V113" t="inlineStr">
        <is>
          <t>1995-05-02</t>
        </is>
      </c>
      <c r="W113" t="inlineStr">
        <is>
          <t>1992-04-24</t>
        </is>
      </c>
      <c r="X113" t="inlineStr">
        <is>
          <t>1992-04-24</t>
        </is>
      </c>
      <c r="Y113" t="n">
        <v>33</v>
      </c>
      <c r="Z113" t="n">
        <v>30</v>
      </c>
      <c r="AA113" t="n">
        <v>30</v>
      </c>
      <c r="AB113" t="n">
        <v>1</v>
      </c>
      <c r="AC113" t="n">
        <v>1</v>
      </c>
      <c r="AD113" t="n">
        <v>1</v>
      </c>
      <c r="AE113" t="n">
        <v>1</v>
      </c>
      <c r="AF113" t="n">
        <v>0</v>
      </c>
      <c r="AG113" t="n">
        <v>0</v>
      </c>
      <c r="AH113" t="n">
        <v>0</v>
      </c>
      <c r="AI113" t="n">
        <v>0</v>
      </c>
      <c r="AJ113" t="n">
        <v>1</v>
      </c>
      <c r="AK113" t="n">
        <v>1</v>
      </c>
      <c r="AL113" t="n">
        <v>0</v>
      </c>
      <c r="AM113" t="n">
        <v>0</v>
      </c>
      <c r="AN113" t="n">
        <v>0</v>
      </c>
      <c r="AO113" t="n">
        <v>0</v>
      </c>
      <c r="AP113" t="inlineStr">
        <is>
          <t>No</t>
        </is>
      </c>
      <c r="AQ113" t="inlineStr">
        <is>
          <t>No</t>
        </is>
      </c>
      <c r="AS113">
        <f>HYPERLINK("https://creighton-primo.hosted.exlibrisgroup.com/primo-explore/search?tab=default_tab&amp;search_scope=EVERYTHING&amp;vid=01CRU&amp;lang=en_US&amp;offset=0&amp;query=any,contains,991005237009702656","Catalog Record")</f>
        <v/>
      </c>
      <c r="AT113">
        <f>HYPERLINK("http://www.worldcat.org/oclc/8387678","WorldCat Record")</f>
        <v/>
      </c>
      <c r="AU113" t="inlineStr">
        <is>
          <t>20648702:eng</t>
        </is>
      </c>
      <c r="AV113" t="inlineStr">
        <is>
          <t>8387678</t>
        </is>
      </c>
      <c r="AW113" t="inlineStr">
        <is>
          <t>991005237009702656</t>
        </is>
      </c>
      <c r="AX113" t="inlineStr">
        <is>
          <t>991005237009702656</t>
        </is>
      </c>
      <c r="AY113" t="inlineStr">
        <is>
          <t>2266638010002656</t>
        </is>
      </c>
      <c r="AZ113" t="inlineStr">
        <is>
          <t>BOOK</t>
        </is>
      </c>
      <c r="BB113" t="inlineStr">
        <is>
          <t>9780872010345</t>
        </is>
      </c>
      <c r="BC113" t="inlineStr">
        <is>
          <t>32285001095362</t>
        </is>
      </c>
      <c r="BD113" t="inlineStr">
        <is>
          <t>893260786</t>
        </is>
      </c>
    </row>
    <row r="114">
      <c r="A114" t="inlineStr">
        <is>
          <t>No</t>
        </is>
      </c>
      <c r="B114" t="inlineStr">
        <is>
          <t>TT507 .L46</t>
        </is>
      </c>
      <c r="C114" t="inlineStr">
        <is>
          <t>0                      TT 0507000L  46</t>
        </is>
      </c>
      <c r="D114" t="inlineStr">
        <is>
          <t>The executive look and how to get it : professional guidelines for putting together executive wardrobes for men and women / Mortimer Levitt.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No</t>
        </is>
      </c>
      <c r="J114" t="inlineStr">
        <is>
          <t>0</t>
        </is>
      </c>
      <c r="K114" t="inlineStr">
        <is>
          <t>Levitt, Mortimer, 1907-</t>
        </is>
      </c>
      <c r="L114" t="inlineStr">
        <is>
          <t>New York : AMACOM, 1979.</t>
        </is>
      </c>
      <c r="M114" t="inlineStr">
        <is>
          <t>1979</t>
        </is>
      </c>
      <c r="O114" t="inlineStr">
        <is>
          <t>eng</t>
        </is>
      </c>
      <c r="P114" t="inlineStr">
        <is>
          <t>nyu</t>
        </is>
      </c>
      <c r="Q114" t="inlineStr">
        <is>
          <t>An AMA management briefing</t>
        </is>
      </c>
      <c r="R114" t="inlineStr">
        <is>
          <t xml:space="preserve">TT </t>
        </is>
      </c>
      <c r="S114" t="n">
        <v>5</v>
      </c>
      <c r="T114" t="n">
        <v>5</v>
      </c>
      <c r="U114" t="inlineStr">
        <is>
          <t>1993-04-02</t>
        </is>
      </c>
      <c r="V114" t="inlineStr">
        <is>
          <t>1993-04-02</t>
        </is>
      </c>
      <c r="W114" t="inlineStr">
        <is>
          <t>1990-07-09</t>
        </is>
      </c>
      <c r="X114" t="inlineStr">
        <is>
          <t>1990-07-09</t>
        </is>
      </c>
      <c r="Y114" t="n">
        <v>250</v>
      </c>
      <c r="Z114" t="n">
        <v>219</v>
      </c>
      <c r="AA114" t="n">
        <v>223</v>
      </c>
      <c r="AB114" t="n">
        <v>4</v>
      </c>
      <c r="AC114" t="n">
        <v>4</v>
      </c>
      <c r="AD114" t="n">
        <v>9</v>
      </c>
      <c r="AE114" t="n">
        <v>9</v>
      </c>
      <c r="AF114" t="n">
        <v>2</v>
      </c>
      <c r="AG114" t="n">
        <v>2</v>
      </c>
      <c r="AH114" t="n">
        <v>3</v>
      </c>
      <c r="AI114" t="n">
        <v>3</v>
      </c>
      <c r="AJ114" t="n">
        <v>4</v>
      </c>
      <c r="AK114" t="n">
        <v>4</v>
      </c>
      <c r="AL114" t="n">
        <v>3</v>
      </c>
      <c r="AM114" t="n">
        <v>3</v>
      </c>
      <c r="AN114" t="n">
        <v>0</v>
      </c>
      <c r="AO114" t="n">
        <v>0</v>
      </c>
      <c r="AP114" t="inlineStr">
        <is>
          <t>No</t>
        </is>
      </c>
      <c r="AQ114" t="inlineStr">
        <is>
          <t>No</t>
        </is>
      </c>
      <c r="AS114">
        <f>HYPERLINK("https://creighton-primo.hosted.exlibrisgroup.com/primo-explore/search?tab=default_tab&amp;search_scope=EVERYTHING&amp;vid=01CRU&amp;lang=en_US&amp;offset=0&amp;query=any,contains,991004812859702656","Catalog Record")</f>
        <v/>
      </c>
      <c r="AT114">
        <f>HYPERLINK("http://www.worldcat.org/oclc/5286372","WorldCat Record")</f>
        <v/>
      </c>
      <c r="AU114" t="inlineStr">
        <is>
          <t>16803298:eng</t>
        </is>
      </c>
      <c r="AV114" t="inlineStr">
        <is>
          <t>5286372</t>
        </is>
      </c>
      <c r="AW114" t="inlineStr">
        <is>
          <t>991004812859702656</t>
        </is>
      </c>
      <c r="AX114" t="inlineStr">
        <is>
          <t>991004812859702656</t>
        </is>
      </c>
      <c r="AY114" t="inlineStr">
        <is>
          <t>2271728620002656</t>
        </is>
      </c>
      <c r="AZ114" t="inlineStr">
        <is>
          <t>BOOK</t>
        </is>
      </c>
      <c r="BB114" t="inlineStr">
        <is>
          <t>9780814422373</t>
        </is>
      </c>
      <c r="BC114" t="inlineStr">
        <is>
          <t>32285000222256</t>
        </is>
      </c>
      <c r="BD114" t="inlineStr">
        <is>
          <t>893424217</t>
        </is>
      </c>
    </row>
    <row r="115">
      <c r="A115" t="inlineStr">
        <is>
          <t>No</t>
        </is>
      </c>
      <c r="B115" t="inlineStr">
        <is>
          <t>TT507 .N8</t>
        </is>
      </c>
      <c r="C115" t="inlineStr">
        <is>
          <t>0                      TT 0507000N  8</t>
        </is>
      </c>
      <c r="D115" t="inlineStr">
        <is>
          <t>Economics of fashion, by Paul H. Nystrom ...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K115" t="inlineStr">
        <is>
          <t>Nystrom, Paul H. (Paul Henry), 1878-1969.</t>
        </is>
      </c>
      <c r="L115" t="inlineStr">
        <is>
          <t>New York, The Ronald Press Company [c1928]</t>
        </is>
      </c>
      <c r="M115" t="inlineStr">
        <is>
          <t>1928</t>
        </is>
      </c>
      <c r="O115" t="inlineStr">
        <is>
          <t>eng</t>
        </is>
      </c>
      <c r="P115" t="inlineStr">
        <is>
          <t>nyu</t>
        </is>
      </c>
      <c r="R115" t="inlineStr">
        <is>
          <t xml:space="preserve">TT </t>
        </is>
      </c>
      <c r="S115" t="n">
        <v>3</v>
      </c>
      <c r="T115" t="n">
        <v>3</v>
      </c>
      <c r="U115" t="inlineStr">
        <is>
          <t>1999-07-19</t>
        </is>
      </c>
      <c r="V115" t="inlineStr">
        <is>
          <t>1999-07-19</t>
        </is>
      </c>
      <c r="W115" t="inlineStr">
        <is>
          <t>1997-08-29</t>
        </is>
      </c>
      <c r="X115" t="inlineStr">
        <is>
          <t>1997-08-29</t>
        </is>
      </c>
      <c r="Y115" t="n">
        <v>268</v>
      </c>
      <c r="Z115" t="n">
        <v>236</v>
      </c>
      <c r="AA115" t="n">
        <v>245</v>
      </c>
      <c r="AB115" t="n">
        <v>4</v>
      </c>
      <c r="AC115" t="n">
        <v>4</v>
      </c>
      <c r="AD115" t="n">
        <v>10</v>
      </c>
      <c r="AE115" t="n">
        <v>10</v>
      </c>
      <c r="AF115" t="n">
        <v>1</v>
      </c>
      <c r="AG115" t="n">
        <v>1</v>
      </c>
      <c r="AH115" t="n">
        <v>2</v>
      </c>
      <c r="AI115" t="n">
        <v>2</v>
      </c>
      <c r="AJ115" t="n">
        <v>5</v>
      </c>
      <c r="AK115" t="n">
        <v>5</v>
      </c>
      <c r="AL115" t="n">
        <v>3</v>
      </c>
      <c r="AM115" t="n">
        <v>3</v>
      </c>
      <c r="AN115" t="n">
        <v>0</v>
      </c>
      <c r="AO115" t="n">
        <v>0</v>
      </c>
      <c r="AP115" t="inlineStr">
        <is>
          <t>Yes</t>
        </is>
      </c>
      <c r="AQ115" t="inlineStr">
        <is>
          <t>No</t>
        </is>
      </c>
      <c r="AR115">
        <f>HYPERLINK("http://catalog.hathitrust.org/Record/000967740","HathiTrust Record")</f>
        <v/>
      </c>
      <c r="AS115">
        <f>HYPERLINK("https://creighton-primo.hosted.exlibrisgroup.com/primo-explore/search?tab=default_tab&amp;search_scope=EVERYTHING&amp;vid=01CRU&amp;lang=en_US&amp;offset=0&amp;query=any,contains,991004034799702656","Catalog Record")</f>
        <v/>
      </c>
      <c r="AT115">
        <f>HYPERLINK("http://www.worldcat.org/oclc/2167082","WorldCat Record")</f>
        <v/>
      </c>
      <c r="AU115" t="inlineStr">
        <is>
          <t>4080527:eng</t>
        </is>
      </c>
      <c r="AV115" t="inlineStr">
        <is>
          <t>2167082</t>
        </is>
      </c>
      <c r="AW115" t="inlineStr">
        <is>
          <t>991004034799702656</t>
        </is>
      </c>
      <c r="AX115" t="inlineStr">
        <is>
          <t>991004034799702656</t>
        </is>
      </c>
      <c r="AY115" t="inlineStr">
        <is>
          <t>2270482860002656</t>
        </is>
      </c>
      <c r="AZ115" t="inlineStr">
        <is>
          <t>BOOK</t>
        </is>
      </c>
      <c r="BC115" t="inlineStr">
        <is>
          <t>32285003120077</t>
        </is>
      </c>
      <c r="BD115" t="inlineStr">
        <is>
          <t>893618143</t>
        </is>
      </c>
    </row>
    <row r="116">
      <c r="A116" t="inlineStr">
        <is>
          <t>No</t>
        </is>
      </c>
      <c r="B116" t="inlineStr">
        <is>
          <t>TT507 .P363 1993</t>
        </is>
      </c>
      <c r="C116" t="inlineStr">
        <is>
          <t>0                      TT 0507000P  363         1993</t>
        </is>
      </c>
      <c r="D116" t="inlineStr">
        <is>
          <t>Costume design : techniques of modern masters / Lynn Pecktal.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0</t>
        </is>
      </c>
      <c r="K116" t="inlineStr">
        <is>
          <t>Pecktal, Lynn.</t>
        </is>
      </c>
      <c r="L116" t="inlineStr">
        <is>
          <t>New York : Back Stage Books, c1993.</t>
        </is>
      </c>
      <c r="M116" t="inlineStr">
        <is>
          <t>1993</t>
        </is>
      </c>
      <c r="O116" t="inlineStr">
        <is>
          <t>eng</t>
        </is>
      </c>
      <c r="P116" t="inlineStr">
        <is>
          <t>nyu</t>
        </is>
      </c>
      <c r="R116" t="inlineStr">
        <is>
          <t xml:space="preserve">TT </t>
        </is>
      </c>
      <c r="S116" t="n">
        <v>11</v>
      </c>
      <c r="T116" t="n">
        <v>11</v>
      </c>
      <c r="U116" t="inlineStr">
        <is>
          <t>1997-01-31</t>
        </is>
      </c>
      <c r="V116" t="inlineStr">
        <is>
          <t>1997-01-31</t>
        </is>
      </c>
      <c r="W116" t="inlineStr">
        <is>
          <t>1994-03-30</t>
        </is>
      </c>
      <c r="X116" t="inlineStr">
        <is>
          <t>1994-03-30</t>
        </is>
      </c>
      <c r="Y116" t="n">
        <v>471</v>
      </c>
      <c r="Z116" t="n">
        <v>379</v>
      </c>
      <c r="AA116" t="n">
        <v>607</v>
      </c>
      <c r="AB116" t="n">
        <v>4</v>
      </c>
      <c r="AC116" t="n">
        <v>5</v>
      </c>
      <c r="AD116" t="n">
        <v>14</v>
      </c>
      <c r="AE116" t="n">
        <v>25</v>
      </c>
      <c r="AF116" t="n">
        <v>7</v>
      </c>
      <c r="AG116" t="n">
        <v>13</v>
      </c>
      <c r="AH116" t="n">
        <v>1</v>
      </c>
      <c r="AI116" t="n">
        <v>3</v>
      </c>
      <c r="AJ116" t="n">
        <v>6</v>
      </c>
      <c r="AK116" t="n">
        <v>11</v>
      </c>
      <c r="AL116" t="n">
        <v>3</v>
      </c>
      <c r="AM116" t="n">
        <v>4</v>
      </c>
      <c r="AN116" t="n">
        <v>0</v>
      </c>
      <c r="AO116" t="n">
        <v>0</v>
      </c>
      <c r="AP116" t="inlineStr">
        <is>
          <t>No</t>
        </is>
      </c>
      <c r="AQ116" t="inlineStr">
        <is>
          <t>Yes</t>
        </is>
      </c>
      <c r="AR116">
        <f>HYPERLINK("http://catalog.hathitrust.org/Record/002698610","HathiTrust Record")</f>
        <v/>
      </c>
      <c r="AS116">
        <f>HYPERLINK("https://creighton-primo.hosted.exlibrisgroup.com/primo-explore/search?tab=default_tab&amp;search_scope=EVERYTHING&amp;vid=01CRU&amp;lang=en_US&amp;offset=0&amp;query=any,contains,991002109709702656","Catalog Record")</f>
        <v/>
      </c>
      <c r="AT116">
        <f>HYPERLINK("http://www.worldcat.org/oclc/27035587","WorldCat Record")</f>
        <v/>
      </c>
      <c r="AU116" t="inlineStr">
        <is>
          <t>356254:eng</t>
        </is>
      </c>
      <c r="AV116" t="inlineStr">
        <is>
          <t>27035587</t>
        </is>
      </c>
      <c r="AW116" t="inlineStr">
        <is>
          <t>991002109709702656</t>
        </is>
      </c>
      <c r="AX116" t="inlineStr">
        <is>
          <t>991002109709702656</t>
        </is>
      </c>
      <c r="AY116" t="inlineStr">
        <is>
          <t>2270240950002656</t>
        </is>
      </c>
      <c r="AZ116" t="inlineStr">
        <is>
          <t>BOOK</t>
        </is>
      </c>
      <c r="BB116" t="inlineStr">
        <is>
          <t>9780823083114</t>
        </is>
      </c>
      <c r="BC116" t="inlineStr">
        <is>
          <t>32285001863017</t>
        </is>
      </c>
      <c r="BD116" t="inlineStr">
        <is>
          <t>893697362</t>
        </is>
      </c>
    </row>
    <row r="117">
      <c r="A117" t="inlineStr">
        <is>
          <t>No</t>
        </is>
      </c>
      <c r="B117" t="inlineStr">
        <is>
          <t>TT507 .T466</t>
        </is>
      </c>
      <c r="C117" t="inlineStr">
        <is>
          <t>0                      TT 0507000T  466</t>
        </is>
      </c>
      <c r="D117" t="inlineStr">
        <is>
          <t>A practical approach to costume design and construction / Beverly Jane Thomas.</t>
        </is>
      </c>
      <c r="E117" t="inlineStr">
        <is>
          <t>V.1</t>
        </is>
      </c>
      <c r="F117" t="inlineStr">
        <is>
          <t>Yes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K117" t="inlineStr">
        <is>
          <t>Thomas, Beverly Jane.</t>
        </is>
      </c>
      <c r="L117" t="inlineStr">
        <is>
          <t>Boston : Allyn and Bacon, 1982.</t>
        </is>
      </c>
      <c r="M117" t="inlineStr">
        <is>
          <t>1981</t>
        </is>
      </c>
      <c r="O117" t="inlineStr">
        <is>
          <t>eng</t>
        </is>
      </c>
      <c r="P117" t="inlineStr">
        <is>
          <t>mau</t>
        </is>
      </c>
      <c r="R117" t="inlineStr">
        <is>
          <t xml:space="preserve">TT </t>
        </is>
      </c>
      <c r="S117" t="n">
        <v>9</v>
      </c>
      <c r="T117" t="n">
        <v>19</v>
      </c>
      <c r="U117" t="inlineStr">
        <is>
          <t>2000-04-05</t>
        </is>
      </c>
      <c r="V117" t="inlineStr">
        <is>
          <t>2002-06-26</t>
        </is>
      </c>
      <c r="W117" t="inlineStr">
        <is>
          <t>1993-08-03</t>
        </is>
      </c>
      <c r="X117" t="inlineStr">
        <is>
          <t>2000-01-05</t>
        </is>
      </c>
      <c r="Y117" t="n">
        <v>560</v>
      </c>
      <c r="Z117" t="n">
        <v>526</v>
      </c>
      <c r="AA117" t="n">
        <v>530</v>
      </c>
      <c r="AB117" t="n">
        <v>8</v>
      </c>
      <c r="AC117" t="n">
        <v>8</v>
      </c>
      <c r="AD117" t="n">
        <v>19</v>
      </c>
      <c r="AE117" t="n">
        <v>19</v>
      </c>
      <c r="AF117" t="n">
        <v>8</v>
      </c>
      <c r="AG117" t="n">
        <v>8</v>
      </c>
      <c r="AH117" t="n">
        <v>5</v>
      </c>
      <c r="AI117" t="n">
        <v>5</v>
      </c>
      <c r="AJ117" t="n">
        <v>5</v>
      </c>
      <c r="AK117" t="n">
        <v>5</v>
      </c>
      <c r="AL117" t="n">
        <v>6</v>
      </c>
      <c r="AM117" t="n">
        <v>6</v>
      </c>
      <c r="AN117" t="n">
        <v>0</v>
      </c>
      <c r="AO117" t="n">
        <v>0</v>
      </c>
      <c r="AP117" t="inlineStr">
        <is>
          <t>No</t>
        </is>
      </c>
      <c r="AQ117" t="inlineStr">
        <is>
          <t>Yes</t>
        </is>
      </c>
      <c r="AR117">
        <f>HYPERLINK("http://catalog.hathitrust.org/Record/000100899","HathiTrust Record")</f>
        <v/>
      </c>
      <c r="AS117">
        <f>HYPERLINK("https://creighton-primo.hosted.exlibrisgroup.com/primo-explore/search?tab=default_tab&amp;search_scope=EVERYTHING&amp;vid=01CRU&amp;lang=en_US&amp;offset=0&amp;query=any,contains,991005128689702656","Catalog Record")</f>
        <v/>
      </c>
      <c r="AT117">
        <f>HYPERLINK("http://www.worldcat.org/oclc/7555469","WorldCat Record")</f>
        <v/>
      </c>
      <c r="AU117" t="inlineStr">
        <is>
          <t>28586280:eng</t>
        </is>
      </c>
      <c r="AV117" t="inlineStr">
        <is>
          <t>7555469</t>
        </is>
      </c>
      <c r="AW117" t="inlineStr">
        <is>
          <t>991005128689702656</t>
        </is>
      </c>
      <c r="AX117" t="inlineStr">
        <is>
          <t>991005128689702656</t>
        </is>
      </c>
      <c r="AY117" t="inlineStr">
        <is>
          <t>2266352240002656</t>
        </is>
      </c>
      <c r="AZ117" t="inlineStr">
        <is>
          <t>BOOK</t>
        </is>
      </c>
      <c r="BB117" t="inlineStr">
        <is>
          <t>9780205072736</t>
        </is>
      </c>
      <c r="BC117" t="inlineStr">
        <is>
          <t>32285001748929</t>
        </is>
      </c>
      <c r="BD117" t="inlineStr">
        <is>
          <t>893320074</t>
        </is>
      </c>
    </row>
    <row r="118">
      <c r="A118" t="inlineStr">
        <is>
          <t>No</t>
        </is>
      </c>
      <c r="B118" t="inlineStr">
        <is>
          <t>TT507 .T466</t>
        </is>
      </c>
      <c r="C118" t="inlineStr">
        <is>
          <t>0                      TT 0507000T  466</t>
        </is>
      </c>
      <c r="D118" t="inlineStr">
        <is>
          <t>A practical approach to costume design and construction / Beverly Jane Thomas.</t>
        </is>
      </c>
      <c r="E118" t="inlineStr">
        <is>
          <t>V.2</t>
        </is>
      </c>
      <c r="F118" t="inlineStr">
        <is>
          <t>Yes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K118" t="inlineStr">
        <is>
          <t>Thomas, Beverly Jane.</t>
        </is>
      </c>
      <c r="L118" t="inlineStr">
        <is>
          <t>Boston : Allyn and Bacon, 1982.</t>
        </is>
      </c>
      <c r="M118" t="inlineStr">
        <is>
          <t>1981</t>
        </is>
      </c>
      <c r="O118" t="inlineStr">
        <is>
          <t>eng</t>
        </is>
      </c>
      <c r="P118" t="inlineStr">
        <is>
          <t>mau</t>
        </is>
      </c>
      <c r="R118" t="inlineStr">
        <is>
          <t xml:space="preserve">TT </t>
        </is>
      </c>
      <c r="S118" t="n">
        <v>10</v>
      </c>
      <c r="T118" t="n">
        <v>19</v>
      </c>
      <c r="U118" t="inlineStr">
        <is>
          <t>2002-06-26</t>
        </is>
      </c>
      <c r="V118" t="inlineStr">
        <is>
          <t>2002-06-26</t>
        </is>
      </c>
      <c r="W118" t="inlineStr">
        <is>
          <t>2000-01-05</t>
        </is>
      </c>
      <c r="X118" t="inlineStr">
        <is>
          <t>2000-01-05</t>
        </is>
      </c>
      <c r="Y118" t="n">
        <v>560</v>
      </c>
      <c r="Z118" t="n">
        <v>526</v>
      </c>
      <c r="AA118" t="n">
        <v>530</v>
      </c>
      <c r="AB118" t="n">
        <v>8</v>
      </c>
      <c r="AC118" t="n">
        <v>8</v>
      </c>
      <c r="AD118" t="n">
        <v>19</v>
      </c>
      <c r="AE118" t="n">
        <v>19</v>
      </c>
      <c r="AF118" t="n">
        <v>8</v>
      </c>
      <c r="AG118" t="n">
        <v>8</v>
      </c>
      <c r="AH118" t="n">
        <v>5</v>
      </c>
      <c r="AI118" t="n">
        <v>5</v>
      </c>
      <c r="AJ118" t="n">
        <v>5</v>
      </c>
      <c r="AK118" t="n">
        <v>5</v>
      </c>
      <c r="AL118" t="n">
        <v>6</v>
      </c>
      <c r="AM118" t="n">
        <v>6</v>
      </c>
      <c r="AN118" t="n">
        <v>0</v>
      </c>
      <c r="AO118" t="n">
        <v>0</v>
      </c>
      <c r="AP118" t="inlineStr">
        <is>
          <t>No</t>
        </is>
      </c>
      <c r="AQ118" t="inlineStr">
        <is>
          <t>Yes</t>
        </is>
      </c>
      <c r="AR118">
        <f>HYPERLINK("http://catalog.hathitrust.org/Record/000100899","HathiTrust Record")</f>
        <v/>
      </c>
      <c r="AS118">
        <f>HYPERLINK("https://creighton-primo.hosted.exlibrisgroup.com/primo-explore/search?tab=default_tab&amp;search_scope=EVERYTHING&amp;vid=01CRU&amp;lang=en_US&amp;offset=0&amp;query=any,contains,991005128689702656","Catalog Record")</f>
        <v/>
      </c>
      <c r="AT118">
        <f>HYPERLINK("http://www.worldcat.org/oclc/7555469","WorldCat Record")</f>
        <v/>
      </c>
      <c r="AU118" t="inlineStr">
        <is>
          <t>28586280:eng</t>
        </is>
      </c>
      <c r="AV118" t="inlineStr">
        <is>
          <t>7555469</t>
        </is>
      </c>
      <c r="AW118" t="inlineStr">
        <is>
          <t>991005128689702656</t>
        </is>
      </c>
      <c r="AX118" t="inlineStr">
        <is>
          <t>991005128689702656</t>
        </is>
      </c>
      <c r="AY118" t="inlineStr">
        <is>
          <t>2266352240002656</t>
        </is>
      </c>
      <c r="AZ118" t="inlineStr">
        <is>
          <t>BOOK</t>
        </is>
      </c>
      <c r="BB118" t="inlineStr">
        <is>
          <t>9780205072736</t>
        </is>
      </c>
      <c r="BC118" t="inlineStr">
        <is>
          <t>32285003637658</t>
        </is>
      </c>
      <c r="BD118" t="inlineStr">
        <is>
          <t>893338558</t>
        </is>
      </c>
    </row>
    <row r="119">
      <c r="A119" t="inlineStr">
        <is>
          <t>No</t>
        </is>
      </c>
      <c r="B119" t="inlineStr">
        <is>
          <t>TT507 .W43 1983</t>
        </is>
      </c>
      <c r="C119" t="inlineStr">
        <is>
          <t>0                      TT 0507000W  43          1983</t>
        </is>
      </c>
      <c r="D119" t="inlineStr">
        <is>
          <t>Elementary fashion design and trade sketching / written and illustrated by Maxine Westerman.</t>
        </is>
      </c>
      <c r="F119" t="inlineStr">
        <is>
          <t>No</t>
        </is>
      </c>
      <c r="G119" t="inlineStr">
        <is>
          <t>1</t>
        </is>
      </c>
      <c r="H119" t="inlineStr">
        <is>
          <t>No</t>
        </is>
      </c>
      <c r="I119" t="inlineStr">
        <is>
          <t>No</t>
        </is>
      </c>
      <c r="J119" t="inlineStr">
        <is>
          <t>0</t>
        </is>
      </c>
      <c r="K119" t="inlineStr">
        <is>
          <t>Westerman, Maxine.</t>
        </is>
      </c>
      <c r="L119" t="inlineStr">
        <is>
          <t>New York : Fairchild Publications, c1983.</t>
        </is>
      </c>
      <c r="M119" t="inlineStr">
        <is>
          <t>1983</t>
        </is>
      </c>
      <c r="N119" t="inlineStr">
        <is>
          <t>2nd ed.</t>
        </is>
      </c>
      <c r="O119" t="inlineStr">
        <is>
          <t>eng</t>
        </is>
      </c>
      <c r="P119" t="inlineStr">
        <is>
          <t>nyu</t>
        </is>
      </c>
      <c r="R119" t="inlineStr">
        <is>
          <t xml:space="preserve">TT </t>
        </is>
      </c>
      <c r="S119" t="n">
        <v>5</v>
      </c>
      <c r="T119" t="n">
        <v>5</v>
      </c>
      <c r="U119" t="inlineStr">
        <is>
          <t>2002-06-26</t>
        </is>
      </c>
      <c r="V119" t="inlineStr">
        <is>
          <t>2002-06-26</t>
        </is>
      </c>
      <c r="W119" t="inlineStr">
        <is>
          <t>1999-04-28</t>
        </is>
      </c>
      <c r="X119" t="inlineStr">
        <is>
          <t>1999-04-28</t>
        </is>
      </c>
      <c r="Y119" t="n">
        <v>204</v>
      </c>
      <c r="Z119" t="n">
        <v>176</v>
      </c>
      <c r="AA119" t="n">
        <v>335</v>
      </c>
      <c r="AB119" t="n">
        <v>2</v>
      </c>
      <c r="AC119" t="n">
        <v>3</v>
      </c>
      <c r="AD119" t="n">
        <v>2</v>
      </c>
      <c r="AE119" t="n">
        <v>8</v>
      </c>
      <c r="AF119" t="n">
        <v>1</v>
      </c>
      <c r="AG119" t="n">
        <v>3</v>
      </c>
      <c r="AH119" t="n">
        <v>0</v>
      </c>
      <c r="AI119" t="n">
        <v>1</v>
      </c>
      <c r="AJ119" t="n">
        <v>0</v>
      </c>
      <c r="AK119" t="n">
        <v>2</v>
      </c>
      <c r="AL119" t="n">
        <v>1</v>
      </c>
      <c r="AM119" t="n">
        <v>2</v>
      </c>
      <c r="AN119" t="n">
        <v>0</v>
      </c>
      <c r="AO119" t="n">
        <v>0</v>
      </c>
      <c r="AP119" t="inlineStr">
        <is>
          <t>No</t>
        </is>
      </c>
      <c r="AQ119" t="inlineStr">
        <is>
          <t>No</t>
        </is>
      </c>
      <c r="AS119">
        <f>HYPERLINK("https://creighton-primo.hosted.exlibrisgroup.com/primo-explore/search?tab=default_tab&amp;search_scope=EVERYTHING&amp;vid=01CRU&amp;lang=en_US&amp;offset=0&amp;query=any,contains,991000206709702656","Catalog Record")</f>
        <v/>
      </c>
      <c r="AT119">
        <f>HYPERLINK("http://www.worldcat.org/oclc/9500168","WorldCat Record")</f>
        <v/>
      </c>
      <c r="AU119" t="inlineStr">
        <is>
          <t>21863459:eng</t>
        </is>
      </c>
      <c r="AV119" t="inlineStr">
        <is>
          <t>9500168</t>
        </is>
      </c>
      <c r="AW119" t="inlineStr">
        <is>
          <t>991000206709702656</t>
        </is>
      </c>
      <c r="AX119" t="inlineStr">
        <is>
          <t>991000206709702656</t>
        </is>
      </c>
      <c r="AY119" t="inlineStr">
        <is>
          <t>2263020500002656</t>
        </is>
      </c>
      <c r="AZ119" t="inlineStr">
        <is>
          <t>BOOK</t>
        </is>
      </c>
      <c r="BB119" t="inlineStr">
        <is>
          <t>9780870054389</t>
        </is>
      </c>
      <c r="BC119" t="inlineStr">
        <is>
          <t>32285003557435</t>
        </is>
      </c>
      <c r="BD119" t="inlineStr">
        <is>
          <t>893689522</t>
        </is>
      </c>
    </row>
    <row r="120">
      <c r="A120" t="inlineStr">
        <is>
          <t>No</t>
        </is>
      </c>
      <c r="B120" t="inlineStr">
        <is>
          <t>TT515 .B88 1993</t>
        </is>
      </c>
      <c r="C120" t="inlineStr">
        <is>
          <t>0                      TT 0515000B  88          1993</t>
        </is>
      </c>
      <c r="D120" t="inlineStr">
        <is>
          <t>Art in dress (1922) / by P. Clement Brown ; edited by R.L. Shep, with additional notes &amp; illustrations.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No</t>
        </is>
      </c>
      <c r="J120" t="inlineStr">
        <is>
          <t>0</t>
        </is>
      </c>
      <c r="K120" t="inlineStr">
        <is>
          <t>Brown, P. Clement (Percy Clement), 1886-</t>
        </is>
      </c>
      <c r="L120" t="inlineStr">
        <is>
          <t>Mendocino, CA : R.L. Shep, c1993.</t>
        </is>
      </c>
      <c r="M120" t="inlineStr">
        <is>
          <t>1993</t>
        </is>
      </c>
      <c r="N120" t="inlineStr">
        <is>
          <t>New ed.</t>
        </is>
      </c>
      <c r="O120" t="inlineStr">
        <is>
          <t>eng</t>
        </is>
      </c>
      <c r="P120" t="inlineStr">
        <is>
          <t>cau</t>
        </is>
      </c>
      <c r="R120" t="inlineStr">
        <is>
          <t xml:space="preserve">TT </t>
        </is>
      </c>
      <c r="S120" t="n">
        <v>8</v>
      </c>
      <c r="T120" t="n">
        <v>8</v>
      </c>
      <c r="U120" t="inlineStr">
        <is>
          <t>1999-10-28</t>
        </is>
      </c>
      <c r="V120" t="inlineStr">
        <is>
          <t>1999-10-28</t>
        </is>
      </c>
      <c r="W120" t="inlineStr">
        <is>
          <t>1996-05-09</t>
        </is>
      </c>
      <c r="X120" t="inlineStr">
        <is>
          <t>1996-05-09</t>
        </is>
      </c>
      <c r="Y120" t="n">
        <v>149</v>
      </c>
      <c r="Z120" t="n">
        <v>130</v>
      </c>
      <c r="AA120" t="n">
        <v>165</v>
      </c>
      <c r="AB120" t="n">
        <v>2</v>
      </c>
      <c r="AC120" t="n">
        <v>2</v>
      </c>
      <c r="AD120" t="n">
        <v>5</v>
      </c>
      <c r="AE120" t="n">
        <v>5</v>
      </c>
      <c r="AF120" t="n">
        <v>2</v>
      </c>
      <c r="AG120" t="n">
        <v>2</v>
      </c>
      <c r="AH120" t="n">
        <v>2</v>
      </c>
      <c r="AI120" t="n">
        <v>2</v>
      </c>
      <c r="AJ120" t="n">
        <v>2</v>
      </c>
      <c r="AK120" t="n">
        <v>2</v>
      </c>
      <c r="AL120" t="n">
        <v>1</v>
      </c>
      <c r="AM120" t="n">
        <v>1</v>
      </c>
      <c r="AN120" t="n">
        <v>0</v>
      </c>
      <c r="AO120" t="n">
        <v>0</v>
      </c>
      <c r="AP120" t="inlineStr">
        <is>
          <t>No</t>
        </is>
      </c>
      <c r="AQ120" t="inlineStr">
        <is>
          <t>Yes</t>
        </is>
      </c>
      <c r="AR120">
        <f>HYPERLINK("http://catalog.hathitrust.org/Record/006807246","HathiTrust Record")</f>
        <v/>
      </c>
      <c r="AS120">
        <f>HYPERLINK("https://creighton-primo.hosted.exlibrisgroup.com/primo-explore/search?tab=default_tab&amp;search_scope=EVERYTHING&amp;vid=01CRU&amp;lang=en_US&amp;offset=0&amp;query=any,contains,991002200829702656","Catalog Record")</f>
        <v/>
      </c>
      <c r="AT120">
        <f>HYPERLINK("http://www.worldcat.org/oclc/28294709","WorldCat Record")</f>
        <v/>
      </c>
      <c r="AU120" t="inlineStr">
        <is>
          <t>2864739499:eng</t>
        </is>
      </c>
      <c r="AV120" t="inlineStr">
        <is>
          <t>28294709</t>
        </is>
      </c>
      <c r="AW120" t="inlineStr">
        <is>
          <t>991002200829702656</t>
        </is>
      </c>
      <c r="AX120" t="inlineStr">
        <is>
          <t>991002200829702656</t>
        </is>
      </c>
      <c r="AY120" t="inlineStr">
        <is>
          <t>2258832520002656</t>
        </is>
      </c>
      <c r="AZ120" t="inlineStr">
        <is>
          <t>BOOK</t>
        </is>
      </c>
      <c r="BB120" t="inlineStr">
        <is>
          <t>9780914046196</t>
        </is>
      </c>
      <c r="BC120" t="inlineStr">
        <is>
          <t>32285002166089</t>
        </is>
      </c>
      <c r="BD120" t="inlineStr">
        <is>
          <t>893627005</t>
        </is>
      </c>
    </row>
    <row r="121">
      <c r="A121" t="inlineStr">
        <is>
          <t>No</t>
        </is>
      </c>
      <c r="B121" t="inlineStr">
        <is>
          <t>TT520 .G667 1993</t>
        </is>
      </c>
      <c r="C121" t="inlineStr">
        <is>
          <t>0                      TT 0520000G  667         1993</t>
        </is>
      </c>
      <c r="D121" t="inlineStr">
        <is>
          <t>Ladies' tailor-made garments / by S.S. Gordon ; edited by Jules &amp; Kaethe Kliot.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No</t>
        </is>
      </c>
      <c r="J121" t="inlineStr">
        <is>
          <t>0</t>
        </is>
      </c>
      <c r="K121" t="inlineStr">
        <is>
          <t>Gordon, S. S.</t>
        </is>
      </c>
      <c r="L121" t="inlineStr">
        <is>
          <t>Berkeley, CA : LACIS Publications, c1993.</t>
        </is>
      </c>
      <c r="M121" t="inlineStr">
        <is>
          <t>1993</t>
        </is>
      </c>
      <c r="O121" t="inlineStr">
        <is>
          <t>eng</t>
        </is>
      </c>
      <c r="P121" t="inlineStr">
        <is>
          <t>cau</t>
        </is>
      </c>
      <c r="R121" t="inlineStr">
        <is>
          <t xml:space="preserve">TT </t>
        </is>
      </c>
      <c r="S121" t="n">
        <v>1</v>
      </c>
      <c r="T121" t="n">
        <v>1</v>
      </c>
      <c r="U121" t="inlineStr">
        <is>
          <t>2005-04-19</t>
        </is>
      </c>
      <c r="V121" t="inlineStr">
        <is>
          <t>2005-04-19</t>
        </is>
      </c>
      <c r="W121" t="inlineStr">
        <is>
          <t>1997-07-01</t>
        </is>
      </c>
      <c r="X121" t="inlineStr">
        <is>
          <t>1997-07-01</t>
        </is>
      </c>
      <c r="Y121" t="n">
        <v>19</v>
      </c>
      <c r="Z121" t="n">
        <v>16</v>
      </c>
      <c r="AA121" t="n">
        <v>16</v>
      </c>
      <c r="AB121" t="n">
        <v>1</v>
      </c>
      <c r="AC121" t="n">
        <v>1</v>
      </c>
      <c r="AD121" t="n">
        <v>1</v>
      </c>
      <c r="AE121" t="n">
        <v>1</v>
      </c>
      <c r="AF121" t="n">
        <v>1</v>
      </c>
      <c r="AG121" t="n">
        <v>1</v>
      </c>
      <c r="AH121" t="n">
        <v>0</v>
      </c>
      <c r="AI121" t="n">
        <v>0</v>
      </c>
      <c r="AJ121" t="n">
        <v>0</v>
      </c>
      <c r="AK121" t="n">
        <v>0</v>
      </c>
      <c r="AL121" t="n">
        <v>0</v>
      </c>
      <c r="AM121" t="n">
        <v>0</v>
      </c>
      <c r="AN121" t="n">
        <v>0</v>
      </c>
      <c r="AO121" t="n">
        <v>0</v>
      </c>
      <c r="AP121" t="inlineStr">
        <is>
          <t>No</t>
        </is>
      </c>
      <c r="AQ121" t="inlineStr">
        <is>
          <t>No</t>
        </is>
      </c>
      <c r="AS121">
        <f>HYPERLINK("https://creighton-primo.hosted.exlibrisgroup.com/primo-explore/search?tab=default_tab&amp;search_scope=EVERYTHING&amp;vid=01CRU&amp;lang=en_US&amp;offset=0&amp;query=any,contains,991002397549702656","Catalog Record")</f>
        <v/>
      </c>
      <c r="AT121">
        <f>HYPERLINK("http://www.worldcat.org/oclc/31149680","WorldCat Record")</f>
        <v/>
      </c>
      <c r="AU121" t="inlineStr">
        <is>
          <t>33646973:eng</t>
        </is>
      </c>
      <c r="AV121" t="inlineStr">
        <is>
          <t>31149680</t>
        </is>
      </c>
      <c r="AW121" t="inlineStr">
        <is>
          <t>991002397549702656</t>
        </is>
      </c>
      <c r="AX121" t="inlineStr">
        <is>
          <t>991002397549702656</t>
        </is>
      </c>
      <c r="AY121" t="inlineStr">
        <is>
          <t>2271208360002656</t>
        </is>
      </c>
      <c r="AZ121" t="inlineStr">
        <is>
          <t>BOOK</t>
        </is>
      </c>
      <c r="BB121" t="inlineStr">
        <is>
          <t>9780916896454</t>
        </is>
      </c>
      <c r="BC121" t="inlineStr">
        <is>
          <t>32285002754710</t>
        </is>
      </c>
      <c r="BD121" t="inlineStr">
        <is>
          <t>893421299</t>
        </is>
      </c>
    </row>
    <row r="122">
      <c r="A122" t="inlineStr">
        <is>
          <t>No</t>
        </is>
      </c>
      <c r="B122" t="inlineStr">
        <is>
          <t>TT520 .H67 1990</t>
        </is>
      </c>
      <c r="C122" t="inlineStr">
        <is>
          <t>0                      TT 0520000H  67          1990</t>
        </is>
      </c>
      <c r="D122" t="inlineStr">
        <is>
          <t>Edwardian ladies' tailoring : the twentieth century system of ladies' garment cutting (1910) / by J.C. Hopkins.</t>
        </is>
      </c>
      <c r="F122" t="inlineStr">
        <is>
          <t>No</t>
        </is>
      </c>
      <c r="G122" t="inlineStr">
        <is>
          <t>1</t>
        </is>
      </c>
      <c r="H122" t="inlineStr">
        <is>
          <t>No</t>
        </is>
      </c>
      <c r="I122" t="inlineStr">
        <is>
          <t>No</t>
        </is>
      </c>
      <c r="J122" t="inlineStr">
        <is>
          <t>0</t>
        </is>
      </c>
      <c r="K122" t="inlineStr">
        <is>
          <t>Hopkins, J. C.</t>
        </is>
      </c>
      <c r="L122" t="inlineStr">
        <is>
          <t>Mendocino, CA : R.L. Shep, c1990.</t>
        </is>
      </c>
      <c r="M122" t="inlineStr">
        <is>
          <t>1990</t>
        </is>
      </c>
      <c r="N122" t="inlineStr">
        <is>
          <t>4th ed. / enl. &amp; edited by R.L. Shep.</t>
        </is>
      </c>
      <c r="O122" t="inlineStr">
        <is>
          <t>eng</t>
        </is>
      </c>
      <c r="P122" t="inlineStr">
        <is>
          <t>cau</t>
        </is>
      </c>
      <c r="R122" t="inlineStr">
        <is>
          <t xml:space="preserve">TT </t>
        </is>
      </c>
      <c r="S122" t="n">
        <v>1</v>
      </c>
      <c r="T122" t="n">
        <v>1</v>
      </c>
      <c r="U122" t="inlineStr">
        <is>
          <t>2005-04-19</t>
        </is>
      </c>
      <c r="V122" t="inlineStr">
        <is>
          <t>2005-04-19</t>
        </is>
      </c>
      <c r="W122" t="inlineStr">
        <is>
          <t>1996-05-09</t>
        </is>
      </c>
      <c r="X122" t="inlineStr">
        <is>
          <t>1996-05-09</t>
        </is>
      </c>
      <c r="Y122" t="n">
        <v>131</v>
      </c>
      <c r="Z122" t="n">
        <v>112</v>
      </c>
      <c r="AA122" t="n">
        <v>114</v>
      </c>
      <c r="AB122" t="n">
        <v>1</v>
      </c>
      <c r="AC122" t="n">
        <v>1</v>
      </c>
      <c r="AD122" t="n">
        <v>3</v>
      </c>
      <c r="AE122" t="n">
        <v>3</v>
      </c>
      <c r="AF122" t="n">
        <v>0</v>
      </c>
      <c r="AG122" t="n">
        <v>0</v>
      </c>
      <c r="AH122" t="n">
        <v>2</v>
      </c>
      <c r="AI122" t="n">
        <v>2</v>
      </c>
      <c r="AJ122" t="n">
        <v>2</v>
      </c>
      <c r="AK122" t="n">
        <v>2</v>
      </c>
      <c r="AL122" t="n">
        <v>0</v>
      </c>
      <c r="AM122" t="n">
        <v>0</v>
      </c>
      <c r="AN122" t="n">
        <v>0</v>
      </c>
      <c r="AO122" t="n">
        <v>0</v>
      </c>
      <c r="AP122" t="inlineStr">
        <is>
          <t>No</t>
        </is>
      </c>
      <c r="AQ122" t="inlineStr">
        <is>
          <t>Yes</t>
        </is>
      </c>
      <c r="AR122">
        <f>HYPERLINK("http://catalog.hathitrust.org/Record/009095053","HathiTrust Record")</f>
        <v/>
      </c>
      <c r="AS122">
        <f>HYPERLINK("https://creighton-primo.hosted.exlibrisgroup.com/primo-explore/search?tab=default_tab&amp;search_scope=EVERYTHING&amp;vid=01CRU&amp;lang=en_US&amp;offset=0&amp;query=any,contains,991001688209702656","Catalog Record")</f>
        <v/>
      </c>
      <c r="AT122">
        <f>HYPERLINK("http://www.worldcat.org/oclc/21410038","WorldCat Record")</f>
        <v/>
      </c>
      <c r="AU122" t="inlineStr">
        <is>
          <t>1028201587:eng</t>
        </is>
      </c>
      <c r="AV122" t="inlineStr">
        <is>
          <t>21410038</t>
        </is>
      </c>
      <c r="AW122" t="inlineStr">
        <is>
          <t>991001688209702656</t>
        </is>
      </c>
      <c r="AX122" t="inlineStr">
        <is>
          <t>991001688209702656</t>
        </is>
      </c>
      <c r="AY122" t="inlineStr">
        <is>
          <t>2254862690002656</t>
        </is>
      </c>
      <c r="AZ122" t="inlineStr">
        <is>
          <t>BOOK</t>
        </is>
      </c>
      <c r="BB122" t="inlineStr">
        <is>
          <t>9780914046103</t>
        </is>
      </c>
      <c r="BC122" t="inlineStr">
        <is>
          <t>32285002166147</t>
        </is>
      </c>
      <c r="BD122" t="inlineStr">
        <is>
          <t>893322153</t>
        </is>
      </c>
    </row>
    <row r="123">
      <c r="A123" t="inlineStr">
        <is>
          <t>No</t>
        </is>
      </c>
      <c r="B123" t="inlineStr">
        <is>
          <t>TT520 .H933 1996</t>
        </is>
      </c>
      <c r="C123" t="inlineStr">
        <is>
          <t>0                      TT 0520000H  933         1996</t>
        </is>
      </c>
      <c r="D123" t="inlineStr">
        <is>
          <t>Period costume for stage &amp; screen. Patterns for women's dress, medieval-1500 / Jean Hunnisett ; illustrations by Kathryn Turner.</t>
        </is>
      </c>
      <c r="F123" t="inlineStr">
        <is>
          <t>No</t>
        </is>
      </c>
      <c r="G123" t="inlineStr">
        <is>
          <t>1</t>
        </is>
      </c>
      <c r="H123" t="inlineStr">
        <is>
          <t>No</t>
        </is>
      </c>
      <c r="I123" t="inlineStr">
        <is>
          <t>No</t>
        </is>
      </c>
      <c r="J123" t="inlineStr">
        <is>
          <t>0</t>
        </is>
      </c>
      <c r="K123" t="inlineStr">
        <is>
          <t>Hunnisett, Jean.</t>
        </is>
      </c>
      <c r="L123" t="inlineStr">
        <is>
          <t>Studio City, CA : Players Press, c1996.</t>
        </is>
      </c>
      <c r="M123" t="inlineStr">
        <is>
          <t>1996</t>
        </is>
      </c>
      <c r="O123" t="inlineStr">
        <is>
          <t>eng</t>
        </is>
      </c>
      <c r="P123" t="inlineStr">
        <is>
          <t>cau</t>
        </is>
      </c>
      <c r="R123" t="inlineStr">
        <is>
          <t xml:space="preserve">TT </t>
        </is>
      </c>
      <c r="S123" t="n">
        <v>2</v>
      </c>
      <c r="T123" t="n">
        <v>2</v>
      </c>
      <c r="U123" t="inlineStr">
        <is>
          <t>2007-10-28</t>
        </is>
      </c>
      <c r="V123" t="inlineStr">
        <is>
          <t>2007-10-28</t>
        </is>
      </c>
      <c r="W123" t="inlineStr">
        <is>
          <t>2007-10-28</t>
        </is>
      </c>
      <c r="X123" t="inlineStr">
        <is>
          <t>2007-10-28</t>
        </is>
      </c>
      <c r="Y123" t="n">
        <v>388</v>
      </c>
      <c r="Z123" t="n">
        <v>334</v>
      </c>
      <c r="AA123" t="n">
        <v>336</v>
      </c>
      <c r="AB123" t="n">
        <v>5</v>
      </c>
      <c r="AC123" t="n">
        <v>5</v>
      </c>
      <c r="AD123" t="n">
        <v>14</v>
      </c>
      <c r="AE123" t="n">
        <v>14</v>
      </c>
      <c r="AF123" t="n">
        <v>10</v>
      </c>
      <c r="AG123" t="n">
        <v>10</v>
      </c>
      <c r="AH123" t="n">
        <v>2</v>
      </c>
      <c r="AI123" t="n">
        <v>2</v>
      </c>
      <c r="AJ123" t="n">
        <v>3</v>
      </c>
      <c r="AK123" t="n">
        <v>3</v>
      </c>
      <c r="AL123" t="n">
        <v>2</v>
      </c>
      <c r="AM123" t="n">
        <v>2</v>
      </c>
      <c r="AN123" t="n">
        <v>0</v>
      </c>
      <c r="AO123" t="n">
        <v>0</v>
      </c>
      <c r="AP123" t="inlineStr">
        <is>
          <t>No</t>
        </is>
      </c>
      <c r="AQ123" t="inlineStr">
        <is>
          <t>Yes</t>
        </is>
      </c>
      <c r="AR123">
        <f>HYPERLINK("http://catalog.hathitrust.org/Record/009095054","HathiTrust Record")</f>
        <v/>
      </c>
      <c r="AS123">
        <f>HYPERLINK("https://creighton-primo.hosted.exlibrisgroup.com/primo-explore/search?tab=default_tab&amp;search_scope=EVERYTHING&amp;vid=01CRU&amp;lang=en_US&amp;offset=0&amp;query=any,contains,991005126109702656","Catalog Record")</f>
        <v/>
      </c>
      <c r="AT123">
        <f>HYPERLINK("http://www.worldcat.org/oclc/33861888","WorldCat Record")</f>
        <v/>
      </c>
      <c r="AU123" t="inlineStr">
        <is>
          <t>3943298331:eng</t>
        </is>
      </c>
      <c r="AV123" t="inlineStr">
        <is>
          <t>33861888</t>
        </is>
      </c>
      <c r="AW123" t="inlineStr">
        <is>
          <t>991005126109702656</t>
        </is>
      </c>
      <c r="AX123" t="inlineStr">
        <is>
          <t>991005126109702656</t>
        </is>
      </c>
      <c r="AY123" t="inlineStr">
        <is>
          <t>2266449760002656</t>
        </is>
      </c>
      <c r="AZ123" t="inlineStr">
        <is>
          <t>BOOK</t>
        </is>
      </c>
      <c r="BB123" t="inlineStr">
        <is>
          <t>9780887346538</t>
        </is>
      </c>
      <c r="BC123" t="inlineStr">
        <is>
          <t>32285005361935</t>
        </is>
      </c>
      <c r="BD123" t="inlineStr">
        <is>
          <t>893807857</t>
        </is>
      </c>
    </row>
    <row r="124">
      <c r="A124" t="inlineStr">
        <is>
          <t>No</t>
        </is>
      </c>
      <c r="B124" t="inlineStr">
        <is>
          <t>TT556 .A54 1988</t>
        </is>
      </c>
      <c r="C124" t="inlineStr">
        <is>
          <t>0                      TT 0556000A  54          1988</t>
        </is>
      </c>
      <c r="D124" t="inlineStr">
        <is>
          <t>American dress pattern catalogs, 1873-1909 : four complete reprints / edited by Nancy Villa Bryk.</t>
        </is>
      </c>
      <c r="F124" t="inlineStr">
        <is>
          <t>No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L124" t="inlineStr">
        <is>
          <t>New York : Published for Henry Ford Museum &amp; Greenfield Village, Dearborn, Michigan by Dover Publications, 1988.</t>
        </is>
      </c>
      <c r="M124" t="inlineStr">
        <is>
          <t>1988</t>
        </is>
      </c>
      <c r="O124" t="inlineStr">
        <is>
          <t>eng</t>
        </is>
      </c>
      <c r="P124" t="inlineStr">
        <is>
          <t>nyu</t>
        </is>
      </c>
      <c r="R124" t="inlineStr">
        <is>
          <t xml:space="preserve">TT </t>
        </is>
      </c>
      <c r="S124" t="n">
        <v>5</v>
      </c>
      <c r="T124" t="n">
        <v>5</v>
      </c>
      <c r="U124" t="inlineStr">
        <is>
          <t>2003-02-17</t>
        </is>
      </c>
      <c r="V124" t="inlineStr">
        <is>
          <t>2003-02-17</t>
        </is>
      </c>
      <c r="W124" t="inlineStr">
        <is>
          <t>1996-05-14</t>
        </is>
      </c>
      <c r="X124" t="inlineStr">
        <is>
          <t>1996-05-14</t>
        </is>
      </c>
      <c r="Y124" t="n">
        <v>363</v>
      </c>
      <c r="Z124" t="n">
        <v>319</v>
      </c>
      <c r="AA124" t="n">
        <v>323</v>
      </c>
      <c r="AB124" t="n">
        <v>5</v>
      </c>
      <c r="AC124" t="n">
        <v>5</v>
      </c>
      <c r="AD124" t="n">
        <v>7</v>
      </c>
      <c r="AE124" t="n">
        <v>7</v>
      </c>
      <c r="AF124" t="n">
        <v>3</v>
      </c>
      <c r="AG124" t="n">
        <v>3</v>
      </c>
      <c r="AH124" t="n">
        <v>2</v>
      </c>
      <c r="AI124" t="n">
        <v>2</v>
      </c>
      <c r="AJ124" t="n">
        <v>2</v>
      </c>
      <c r="AK124" t="n">
        <v>2</v>
      </c>
      <c r="AL124" t="n">
        <v>1</v>
      </c>
      <c r="AM124" t="n">
        <v>1</v>
      </c>
      <c r="AN124" t="n">
        <v>0</v>
      </c>
      <c r="AO124" t="n">
        <v>0</v>
      </c>
      <c r="AP124" t="inlineStr">
        <is>
          <t>No</t>
        </is>
      </c>
      <c r="AQ124" t="inlineStr">
        <is>
          <t>No</t>
        </is>
      </c>
      <c r="AS124">
        <f>HYPERLINK("https://creighton-primo.hosted.exlibrisgroup.com/primo-explore/search?tab=default_tab&amp;search_scope=EVERYTHING&amp;vid=01CRU&amp;lang=en_US&amp;offset=0&amp;query=any,contains,991001261069702656","Catalog Record")</f>
        <v/>
      </c>
      <c r="AT124">
        <f>HYPERLINK("http://www.worldcat.org/oclc/17767864","WorldCat Record")</f>
        <v/>
      </c>
      <c r="AU124" t="inlineStr">
        <is>
          <t>836849182:eng</t>
        </is>
      </c>
      <c r="AV124" t="inlineStr">
        <is>
          <t>17767864</t>
        </is>
      </c>
      <c r="AW124" t="inlineStr">
        <is>
          <t>991001261069702656</t>
        </is>
      </c>
      <c r="AX124" t="inlineStr">
        <is>
          <t>991001261069702656</t>
        </is>
      </c>
      <c r="AY124" t="inlineStr">
        <is>
          <t>2255458950002656</t>
        </is>
      </c>
      <c r="AZ124" t="inlineStr">
        <is>
          <t>BOOK</t>
        </is>
      </c>
      <c r="BB124" t="inlineStr">
        <is>
          <t>9780486256542</t>
        </is>
      </c>
      <c r="BC124" t="inlineStr">
        <is>
          <t>32285002167442</t>
        </is>
      </c>
      <c r="BD124" t="inlineStr">
        <is>
          <t>893684201</t>
        </is>
      </c>
    </row>
    <row r="125">
      <c r="A125" t="inlineStr">
        <is>
          <t>No</t>
        </is>
      </c>
      <c r="B125" t="inlineStr">
        <is>
          <t>TT560 .P36</t>
        </is>
      </c>
      <c r="C125" t="inlineStr">
        <is>
          <t>0                      TT 0560000P  36</t>
        </is>
      </c>
      <c r="D125" t="inlineStr">
        <is>
          <t>Costumes to make. Illustrated by Lynn Sweat.</t>
        </is>
      </c>
      <c r="F125" t="inlineStr">
        <is>
          <t>No</t>
        </is>
      </c>
      <c r="G125" t="inlineStr">
        <is>
          <t>1</t>
        </is>
      </c>
      <c r="H125" t="inlineStr">
        <is>
          <t>No</t>
        </is>
      </c>
      <c r="I125" t="inlineStr">
        <is>
          <t>No</t>
        </is>
      </c>
      <c r="J125" t="inlineStr">
        <is>
          <t>0</t>
        </is>
      </c>
      <c r="K125" t="inlineStr">
        <is>
          <t>Parish, Peggy.</t>
        </is>
      </c>
      <c r="L125" t="inlineStr">
        <is>
          <t>[New York] Macmillan [1970]</t>
        </is>
      </c>
      <c r="M125" t="inlineStr">
        <is>
          <t>1970</t>
        </is>
      </c>
      <c r="O125" t="inlineStr">
        <is>
          <t>eng</t>
        </is>
      </c>
      <c r="P125" t="inlineStr">
        <is>
          <t>nyu</t>
        </is>
      </c>
      <c r="R125" t="inlineStr">
        <is>
          <t xml:space="preserve">TT </t>
        </is>
      </c>
      <c r="S125" t="n">
        <v>2</v>
      </c>
      <c r="T125" t="n">
        <v>2</v>
      </c>
      <c r="U125" t="inlineStr">
        <is>
          <t>2005-10-06</t>
        </is>
      </c>
      <c r="V125" t="inlineStr">
        <is>
          <t>2005-10-06</t>
        </is>
      </c>
      <c r="W125" t="inlineStr">
        <is>
          <t>1997-08-29</t>
        </is>
      </c>
      <c r="X125" t="inlineStr">
        <is>
          <t>1997-08-29</t>
        </is>
      </c>
      <c r="Y125" t="n">
        <v>711</v>
      </c>
      <c r="Z125" t="n">
        <v>670</v>
      </c>
      <c r="AA125" t="n">
        <v>679</v>
      </c>
      <c r="AB125" t="n">
        <v>5</v>
      </c>
      <c r="AC125" t="n">
        <v>5</v>
      </c>
      <c r="AD125" t="n">
        <v>2</v>
      </c>
      <c r="AE125" t="n">
        <v>2</v>
      </c>
      <c r="AF125" t="n">
        <v>1</v>
      </c>
      <c r="AG125" t="n">
        <v>1</v>
      </c>
      <c r="AH125" t="n">
        <v>0</v>
      </c>
      <c r="AI125" t="n">
        <v>0</v>
      </c>
      <c r="AJ125" t="n">
        <v>0</v>
      </c>
      <c r="AK125" t="n">
        <v>0</v>
      </c>
      <c r="AL125" t="n">
        <v>1</v>
      </c>
      <c r="AM125" t="n">
        <v>1</v>
      </c>
      <c r="AN125" t="n">
        <v>0</v>
      </c>
      <c r="AO125" t="n">
        <v>0</v>
      </c>
      <c r="AP125" t="inlineStr">
        <is>
          <t>No</t>
        </is>
      </c>
      <c r="AQ125" t="inlineStr">
        <is>
          <t>Yes</t>
        </is>
      </c>
      <c r="AR125">
        <f>HYPERLINK("http://catalog.hathitrust.org/Record/001046070","HathiTrust Record")</f>
        <v/>
      </c>
      <c r="AS125">
        <f>HYPERLINK("https://creighton-primo.hosted.exlibrisgroup.com/primo-explore/search?tab=default_tab&amp;search_scope=EVERYTHING&amp;vid=01CRU&amp;lang=en_US&amp;offset=0&amp;query=any,contains,991000518259702656","Catalog Record")</f>
        <v/>
      </c>
      <c r="AT125">
        <f>HYPERLINK("http://www.worldcat.org/oclc/86996","WorldCat Record")</f>
        <v/>
      </c>
      <c r="AU125" t="inlineStr">
        <is>
          <t>399987:eng</t>
        </is>
      </c>
      <c r="AV125" t="inlineStr">
        <is>
          <t>86996</t>
        </is>
      </c>
      <c r="AW125" t="inlineStr">
        <is>
          <t>991000518259702656</t>
        </is>
      </c>
      <c r="AX125" t="inlineStr">
        <is>
          <t>991000518259702656</t>
        </is>
      </c>
      <c r="AY125" t="inlineStr">
        <is>
          <t>2270193110002656</t>
        </is>
      </c>
      <c r="AZ125" t="inlineStr">
        <is>
          <t>BOOK</t>
        </is>
      </c>
      <c r="BC125" t="inlineStr">
        <is>
          <t>32285003120085</t>
        </is>
      </c>
      <c r="BD125" t="inlineStr">
        <is>
          <t>893689775</t>
        </is>
      </c>
    </row>
    <row r="126">
      <c r="A126" t="inlineStr">
        <is>
          <t>No</t>
        </is>
      </c>
      <c r="B126" t="inlineStr">
        <is>
          <t>TT560 .R87 1975</t>
        </is>
      </c>
      <c r="C126" t="inlineStr">
        <is>
          <t>0                      TT 0560000R  87          1975</t>
        </is>
      </c>
      <c r="D126" t="inlineStr">
        <is>
          <t>Adaptable stage costume for women : a hundred-in-one costumes designed by Elizabeth Russell.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No</t>
        </is>
      </c>
      <c r="J126" t="inlineStr">
        <is>
          <t>0</t>
        </is>
      </c>
      <c r="K126" t="inlineStr">
        <is>
          <t>Russell, Elizabeth, active 1974-</t>
        </is>
      </c>
      <c r="L126" t="inlineStr">
        <is>
          <t>New York : Theatre Arts Books, 1974 [i.e. 1975]</t>
        </is>
      </c>
      <c r="M126" t="inlineStr">
        <is>
          <t>1975</t>
        </is>
      </c>
      <c r="O126" t="inlineStr">
        <is>
          <t>eng</t>
        </is>
      </c>
      <c r="P126" t="inlineStr">
        <is>
          <t>nyu</t>
        </is>
      </c>
      <c r="R126" t="inlineStr">
        <is>
          <t xml:space="preserve">TT </t>
        </is>
      </c>
      <c r="S126" t="n">
        <v>1</v>
      </c>
      <c r="T126" t="n">
        <v>1</v>
      </c>
      <c r="U126" t="inlineStr">
        <is>
          <t>2004-06-30</t>
        </is>
      </c>
      <c r="V126" t="inlineStr">
        <is>
          <t>2004-06-30</t>
        </is>
      </c>
      <c r="W126" t="inlineStr">
        <is>
          <t>1997-08-29</t>
        </is>
      </c>
      <c r="X126" t="inlineStr">
        <is>
          <t>1997-08-29</t>
        </is>
      </c>
      <c r="Y126" t="n">
        <v>410</v>
      </c>
      <c r="Z126" t="n">
        <v>378</v>
      </c>
      <c r="AA126" t="n">
        <v>401</v>
      </c>
      <c r="AB126" t="n">
        <v>2</v>
      </c>
      <c r="AC126" t="n">
        <v>2</v>
      </c>
      <c r="AD126" t="n">
        <v>13</v>
      </c>
      <c r="AE126" t="n">
        <v>13</v>
      </c>
      <c r="AF126" t="n">
        <v>8</v>
      </c>
      <c r="AG126" t="n">
        <v>8</v>
      </c>
      <c r="AH126" t="n">
        <v>3</v>
      </c>
      <c r="AI126" t="n">
        <v>3</v>
      </c>
      <c r="AJ126" t="n">
        <v>4</v>
      </c>
      <c r="AK126" t="n">
        <v>4</v>
      </c>
      <c r="AL126" t="n">
        <v>1</v>
      </c>
      <c r="AM126" t="n">
        <v>1</v>
      </c>
      <c r="AN126" t="n">
        <v>0</v>
      </c>
      <c r="AO126" t="n">
        <v>0</v>
      </c>
      <c r="AP126" t="inlineStr">
        <is>
          <t>No</t>
        </is>
      </c>
      <c r="AQ126" t="inlineStr">
        <is>
          <t>No</t>
        </is>
      </c>
      <c r="AS126">
        <f>HYPERLINK("https://creighton-primo.hosted.exlibrisgroup.com/primo-explore/search?tab=default_tab&amp;search_scope=EVERYTHING&amp;vid=01CRU&amp;lang=en_US&amp;offset=0&amp;query=any,contains,991003692529702656","Catalog Record")</f>
        <v/>
      </c>
      <c r="AT126">
        <f>HYPERLINK("http://www.worldcat.org/oclc/1323578","WorldCat Record")</f>
        <v/>
      </c>
      <c r="AU126" t="inlineStr">
        <is>
          <t>10677791595:eng</t>
        </is>
      </c>
      <c r="AV126" t="inlineStr">
        <is>
          <t>1323578</t>
        </is>
      </c>
      <c r="AW126" t="inlineStr">
        <is>
          <t>991003692529702656</t>
        </is>
      </c>
      <c r="AX126" t="inlineStr">
        <is>
          <t>991003692529702656</t>
        </is>
      </c>
      <c r="AY126" t="inlineStr">
        <is>
          <t>2255278980002656</t>
        </is>
      </c>
      <c r="AZ126" t="inlineStr">
        <is>
          <t>BOOK</t>
        </is>
      </c>
      <c r="BB126" t="inlineStr">
        <is>
          <t>9780878300075</t>
        </is>
      </c>
      <c r="BC126" t="inlineStr">
        <is>
          <t>32285003120093</t>
        </is>
      </c>
      <c r="BD126" t="inlineStr">
        <is>
          <t>893800035</t>
        </is>
      </c>
    </row>
    <row r="127">
      <c r="A127" t="inlineStr">
        <is>
          <t>No</t>
        </is>
      </c>
      <c r="B127" t="inlineStr">
        <is>
          <t>TT580 .G55 1987</t>
        </is>
      </c>
      <c r="C127" t="inlineStr">
        <is>
          <t>0                      TT 0580000G  55          1987</t>
        </is>
      </c>
      <c r="D127" t="inlineStr">
        <is>
          <t>The art of cutting and history of English costume / by Edward B. Giles.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K127" t="inlineStr">
        <is>
          <t>Giles, Edward B. (Edward Boyer), -1896.</t>
        </is>
      </c>
      <c r="L127" t="inlineStr">
        <is>
          <t>Lopez Island [Wash.] : R.L. Shep, c1987.</t>
        </is>
      </c>
      <c r="M127" t="inlineStr">
        <is>
          <t>1987</t>
        </is>
      </c>
      <c r="N127" t="inlineStr">
        <is>
          <t>New ed.</t>
        </is>
      </c>
      <c r="O127" t="inlineStr">
        <is>
          <t>eng</t>
        </is>
      </c>
      <c r="P127" t="inlineStr">
        <is>
          <t>wau</t>
        </is>
      </c>
      <c r="R127" t="inlineStr">
        <is>
          <t xml:space="preserve">TT </t>
        </is>
      </c>
      <c r="S127" t="n">
        <v>2</v>
      </c>
      <c r="T127" t="n">
        <v>2</v>
      </c>
      <c r="U127" t="inlineStr">
        <is>
          <t>2003-12-07</t>
        </is>
      </c>
      <c r="V127" t="inlineStr">
        <is>
          <t>2003-12-07</t>
        </is>
      </c>
      <c r="W127" t="inlineStr">
        <is>
          <t>1997-07-01</t>
        </is>
      </c>
      <c r="X127" t="inlineStr">
        <is>
          <t>1997-07-01</t>
        </is>
      </c>
      <c r="Y127" t="n">
        <v>211</v>
      </c>
      <c r="Z127" t="n">
        <v>179</v>
      </c>
      <c r="AA127" t="n">
        <v>183</v>
      </c>
      <c r="AB127" t="n">
        <v>3</v>
      </c>
      <c r="AC127" t="n">
        <v>3</v>
      </c>
      <c r="AD127" t="n">
        <v>8</v>
      </c>
      <c r="AE127" t="n">
        <v>8</v>
      </c>
      <c r="AF127" t="n">
        <v>2</v>
      </c>
      <c r="AG127" t="n">
        <v>2</v>
      </c>
      <c r="AH127" t="n">
        <v>3</v>
      </c>
      <c r="AI127" t="n">
        <v>3</v>
      </c>
      <c r="AJ127" t="n">
        <v>3</v>
      </c>
      <c r="AK127" t="n">
        <v>3</v>
      </c>
      <c r="AL127" t="n">
        <v>2</v>
      </c>
      <c r="AM127" t="n">
        <v>2</v>
      </c>
      <c r="AN127" t="n">
        <v>0</v>
      </c>
      <c r="AO127" t="n">
        <v>0</v>
      </c>
      <c r="AP127" t="inlineStr">
        <is>
          <t>No</t>
        </is>
      </c>
      <c r="AQ127" t="inlineStr">
        <is>
          <t>Yes</t>
        </is>
      </c>
      <c r="AR127">
        <f>HYPERLINK("http://catalog.hathitrust.org/Record/009095065","HathiTrust Record")</f>
        <v/>
      </c>
      <c r="AS127">
        <f>HYPERLINK("https://creighton-primo.hosted.exlibrisgroup.com/primo-explore/search?tab=default_tab&amp;search_scope=EVERYTHING&amp;vid=01CRU&amp;lang=en_US&amp;offset=0&amp;query=any,contains,991001106859702656","Catalog Record")</f>
        <v/>
      </c>
      <c r="AT127">
        <f>HYPERLINK("http://www.worldcat.org/oclc/16405846","WorldCat Record")</f>
        <v/>
      </c>
      <c r="AU127" t="inlineStr">
        <is>
          <t>11972197:eng</t>
        </is>
      </c>
      <c r="AV127" t="inlineStr">
        <is>
          <t>16405846</t>
        </is>
      </c>
      <c r="AW127" t="inlineStr">
        <is>
          <t>991001106859702656</t>
        </is>
      </c>
      <c r="AX127" t="inlineStr">
        <is>
          <t>991001106859702656</t>
        </is>
      </c>
      <c r="AY127" t="inlineStr">
        <is>
          <t>2263621370002656</t>
        </is>
      </c>
      <c r="AZ127" t="inlineStr">
        <is>
          <t>BOOK</t>
        </is>
      </c>
      <c r="BB127" t="inlineStr">
        <is>
          <t>9780914046059</t>
        </is>
      </c>
      <c r="BC127" t="inlineStr">
        <is>
          <t>32285002754603</t>
        </is>
      </c>
      <c r="BD127" t="inlineStr">
        <is>
          <t>893803350</t>
        </is>
      </c>
    </row>
    <row r="128">
      <c r="A128" t="inlineStr">
        <is>
          <t>No</t>
        </is>
      </c>
      <c r="B128" t="inlineStr">
        <is>
          <t>TT617 .K37 1986</t>
        </is>
      </c>
      <c r="C128" t="inlineStr">
        <is>
          <t>0                      TT 0617000K  37          1986</t>
        </is>
      </c>
      <c r="D128" t="inlineStr">
        <is>
          <t>The winner's style : the modern male's passport to perfect grooming / Kenneth J. Karpinski with Philip Z. Trupp ; foreword by Doris Pooser.</t>
        </is>
      </c>
      <c r="F128" t="inlineStr">
        <is>
          <t>No</t>
        </is>
      </c>
      <c r="G128" t="inlineStr">
        <is>
          <t>1</t>
        </is>
      </c>
      <c r="H128" t="inlineStr">
        <is>
          <t>No</t>
        </is>
      </c>
      <c r="I128" t="inlineStr">
        <is>
          <t>No</t>
        </is>
      </c>
      <c r="J128" t="inlineStr">
        <is>
          <t>0</t>
        </is>
      </c>
      <c r="K128" t="inlineStr">
        <is>
          <t>Karpinski, Kenneth J., 1948-</t>
        </is>
      </c>
      <c r="L128" t="inlineStr">
        <is>
          <t>Washington, DC : Acropolis Books, c1986.</t>
        </is>
      </c>
      <c r="M128" t="inlineStr">
        <is>
          <t>1986</t>
        </is>
      </c>
      <c r="O128" t="inlineStr">
        <is>
          <t>eng</t>
        </is>
      </c>
      <c r="P128" t="inlineStr">
        <is>
          <t>dcu</t>
        </is>
      </c>
      <c r="R128" t="inlineStr">
        <is>
          <t xml:space="preserve">TT </t>
        </is>
      </c>
      <c r="S128" t="n">
        <v>11</v>
      </c>
      <c r="T128" t="n">
        <v>11</v>
      </c>
      <c r="U128" t="inlineStr">
        <is>
          <t>2010-11-16</t>
        </is>
      </c>
      <c r="V128" t="inlineStr">
        <is>
          <t>2010-11-16</t>
        </is>
      </c>
      <c r="W128" t="inlineStr">
        <is>
          <t>1992-06-25</t>
        </is>
      </c>
      <c r="X128" t="inlineStr">
        <is>
          <t>1992-06-25</t>
        </is>
      </c>
      <c r="Y128" t="n">
        <v>72</v>
      </c>
      <c r="Z128" t="n">
        <v>64</v>
      </c>
      <c r="AA128" t="n">
        <v>66</v>
      </c>
      <c r="AB128" t="n">
        <v>2</v>
      </c>
      <c r="AC128" t="n">
        <v>2</v>
      </c>
      <c r="AD128" t="n">
        <v>2</v>
      </c>
      <c r="AE128" t="n">
        <v>2</v>
      </c>
      <c r="AF128" t="n">
        <v>1</v>
      </c>
      <c r="AG128" t="n">
        <v>1</v>
      </c>
      <c r="AH128" t="n">
        <v>0</v>
      </c>
      <c r="AI128" t="n">
        <v>0</v>
      </c>
      <c r="AJ128" t="n">
        <v>0</v>
      </c>
      <c r="AK128" t="n">
        <v>0</v>
      </c>
      <c r="AL128" t="n">
        <v>1</v>
      </c>
      <c r="AM128" t="n">
        <v>1</v>
      </c>
      <c r="AN128" t="n">
        <v>0</v>
      </c>
      <c r="AO128" t="n">
        <v>0</v>
      </c>
      <c r="AP128" t="inlineStr">
        <is>
          <t>No</t>
        </is>
      </c>
      <c r="AQ128" t="inlineStr">
        <is>
          <t>No</t>
        </is>
      </c>
      <c r="AS128">
        <f>HYPERLINK("https://creighton-primo.hosted.exlibrisgroup.com/primo-explore/search?tab=default_tab&amp;search_scope=EVERYTHING&amp;vid=01CRU&amp;lang=en_US&amp;offset=0&amp;query=any,contains,991000917119702656","Catalog Record")</f>
        <v/>
      </c>
      <c r="AT128">
        <f>HYPERLINK("http://www.worldcat.org/oclc/14187234","WorldCat Record")</f>
        <v/>
      </c>
      <c r="AU128" t="inlineStr">
        <is>
          <t>7750236:eng</t>
        </is>
      </c>
      <c r="AV128" t="inlineStr">
        <is>
          <t>14187234</t>
        </is>
      </c>
      <c r="AW128" t="inlineStr">
        <is>
          <t>991000917119702656</t>
        </is>
      </c>
      <c r="AX128" t="inlineStr">
        <is>
          <t>991000917119702656</t>
        </is>
      </c>
      <c r="AY128" t="inlineStr">
        <is>
          <t>2260188920002656</t>
        </is>
      </c>
      <c r="AZ128" t="inlineStr">
        <is>
          <t>BOOK</t>
        </is>
      </c>
      <c r="BB128" t="inlineStr">
        <is>
          <t>9780874918243</t>
        </is>
      </c>
      <c r="BC128" t="inlineStr">
        <is>
          <t>32285001145266</t>
        </is>
      </c>
      <c r="BD128" t="inlineStr">
        <is>
          <t>893696290</t>
        </is>
      </c>
    </row>
    <row r="129">
      <c r="A129" t="inlineStr">
        <is>
          <t>No</t>
        </is>
      </c>
      <c r="B129" t="inlineStr">
        <is>
          <t>TT618 .M64 1978</t>
        </is>
      </c>
      <c r="C129" t="inlineStr">
        <is>
          <t>0                      TT 0618000M  64          1978</t>
        </is>
      </c>
      <c r="D129" t="inlineStr">
        <is>
          <t>Dress for success / by John T. Molloy.</t>
        </is>
      </c>
      <c r="F129" t="inlineStr">
        <is>
          <t>No</t>
        </is>
      </c>
      <c r="G129" t="inlineStr">
        <is>
          <t>1</t>
        </is>
      </c>
      <c r="H129" t="inlineStr">
        <is>
          <t>No</t>
        </is>
      </c>
      <c r="I129" t="inlineStr">
        <is>
          <t>No</t>
        </is>
      </c>
      <c r="J129" t="inlineStr">
        <is>
          <t>0</t>
        </is>
      </c>
      <c r="K129" t="inlineStr">
        <is>
          <t>Molloy, John T.</t>
        </is>
      </c>
      <c r="L129" t="inlineStr">
        <is>
          <t>New York : Warner Books, 1978, c1975.</t>
        </is>
      </c>
      <c r="M129" t="inlineStr">
        <is>
          <t>1978</t>
        </is>
      </c>
      <c r="O129" t="inlineStr">
        <is>
          <t>eng</t>
        </is>
      </c>
      <c r="P129" t="inlineStr">
        <is>
          <t>nyu</t>
        </is>
      </c>
      <c r="R129" t="inlineStr">
        <is>
          <t xml:space="preserve">TT </t>
        </is>
      </c>
      <c r="S129" t="n">
        <v>14</v>
      </c>
      <c r="T129" t="n">
        <v>14</v>
      </c>
      <c r="U129" t="inlineStr">
        <is>
          <t>2010-11-16</t>
        </is>
      </c>
      <c r="V129" t="inlineStr">
        <is>
          <t>2010-11-16</t>
        </is>
      </c>
      <c r="W129" t="inlineStr">
        <is>
          <t>1992-07-03</t>
        </is>
      </c>
      <c r="X129" t="inlineStr">
        <is>
          <t>1992-07-03</t>
        </is>
      </c>
      <c r="Y129" t="n">
        <v>176</v>
      </c>
      <c r="Z129" t="n">
        <v>175</v>
      </c>
      <c r="AA129" t="n">
        <v>860</v>
      </c>
      <c r="AB129" t="n">
        <v>2</v>
      </c>
      <c r="AC129" t="n">
        <v>12</v>
      </c>
      <c r="AD129" t="n">
        <v>4</v>
      </c>
      <c r="AE129" t="n">
        <v>12</v>
      </c>
      <c r="AF129" t="n">
        <v>2</v>
      </c>
      <c r="AG129" t="n">
        <v>5</v>
      </c>
      <c r="AH129" t="n">
        <v>0</v>
      </c>
      <c r="AI129" t="n">
        <v>0</v>
      </c>
      <c r="AJ129" t="n">
        <v>2</v>
      </c>
      <c r="AK129" t="n">
        <v>5</v>
      </c>
      <c r="AL129" t="n">
        <v>0</v>
      </c>
      <c r="AM129" t="n">
        <v>1</v>
      </c>
      <c r="AN129" t="n">
        <v>1</v>
      </c>
      <c r="AO129" t="n">
        <v>3</v>
      </c>
      <c r="AP129" t="inlineStr">
        <is>
          <t>No</t>
        </is>
      </c>
      <c r="AQ129" t="inlineStr">
        <is>
          <t>No</t>
        </is>
      </c>
      <c r="AS129">
        <f>HYPERLINK("https://creighton-primo.hosted.exlibrisgroup.com/primo-explore/search?tab=default_tab&amp;search_scope=EVERYTHING&amp;vid=01CRU&amp;lang=en_US&amp;offset=0&amp;query=any,contains,991004726229702656","Catalog Record")</f>
        <v/>
      </c>
      <c r="AT129">
        <f>HYPERLINK("http://www.worldcat.org/oclc/4814840","WorldCat Record")</f>
        <v/>
      </c>
      <c r="AU129" t="inlineStr">
        <is>
          <t>2399732:eng</t>
        </is>
      </c>
      <c r="AV129" t="inlineStr">
        <is>
          <t>4814840</t>
        </is>
      </c>
      <c r="AW129" t="inlineStr">
        <is>
          <t>991004726229702656</t>
        </is>
      </c>
      <c r="AX129" t="inlineStr">
        <is>
          <t>991004726229702656</t>
        </is>
      </c>
      <c r="AY129" t="inlineStr">
        <is>
          <t>2263334360002656</t>
        </is>
      </c>
      <c r="AZ129" t="inlineStr">
        <is>
          <t>BOOK</t>
        </is>
      </c>
      <c r="BB129" t="inlineStr">
        <is>
          <t>9780446879606</t>
        </is>
      </c>
      <c r="BC129" t="inlineStr">
        <is>
          <t>32285001157154</t>
        </is>
      </c>
      <c r="BD129" t="inlineStr">
        <is>
          <t>893436670</t>
        </is>
      </c>
    </row>
    <row r="130">
      <c r="A130" t="inlineStr">
        <is>
          <t>No</t>
        </is>
      </c>
      <c r="B130" t="inlineStr">
        <is>
          <t>TT618 .M64 1988</t>
        </is>
      </c>
      <c r="C130" t="inlineStr">
        <is>
          <t>0                      TT 0618000M  64          1988</t>
        </is>
      </c>
      <c r="D130" t="inlineStr">
        <is>
          <t>John T. Molloy's new dress for success.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No</t>
        </is>
      </c>
      <c r="J130" t="inlineStr">
        <is>
          <t>0</t>
        </is>
      </c>
      <c r="K130" t="inlineStr">
        <is>
          <t>Molloy, John T.</t>
        </is>
      </c>
      <c r="L130" t="inlineStr">
        <is>
          <t>New York, NY : Warner Books, c1988.</t>
        </is>
      </c>
      <c r="M130" t="inlineStr">
        <is>
          <t>1988</t>
        </is>
      </c>
      <c r="O130" t="inlineStr">
        <is>
          <t>eng</t>
        </is>
      </c>
      <c r="P130" t="inlineStr">
        <is>
          <t>nyu</t>
        </is>
      </c>
      <c r="R130" t="inlineStr">
        <is>
          <t xml:space="preserve">TT </t>
        </is>
      </c>
      <c r="S130" t="n">
        <v>19</v>
      </c>
      <c r="T130" t="n">
        <v>19</v>
      </c>
      <c r="U130" t="inlineStr">
        <is>
          <t>2010-11-16</t>
        </is>
      </c>
      <c r="V130" t="inlineStr">
        <is>
          <t>2010-11-16</t>
        </is>
      </c>
      <c r="W130" t="inlineStr">
        <is>
          <t>1992-06-10</t>
        </is>
      </c>
      <c r="X130" t="inlineStr">
        <is>
          <t>1992-06-10</t>
        </is>
      </c>
      <c r="Y130" t="n">
        <v>600</v>
      </c>
      <c r="Z130" t="n">
        <v>576</v>
      </c>
      <c r="AA130" t="n">
        <v>606</v>
      </c>
      <c r="AB130" t="n">
        <v>8</v>
      </c>
      <c r="AC130" t="n">
        <v>8</v>
      </c>
      <c r="AD130" t="n">
        <v>12</v>
      </c>
      <c r="AE130" t="n">
        <v>14</v>
      </c>
      <c r="AF130" t="n">
        <v>3</v>
      </c>
      <c r="AG130" t="n">
        <v>4</v>
      </c>
      <c r="AH130" t="n">
        <v>1</v>
      </c>
      <c r="AI130" t="n">
        <v>2</v>
      </c>
      <c r="AJ130" t="n">
        <v>4</v>
      </c>
      <c r="AK130" t="n">
        <v>4</v>
      </c>
      <c r="AL130" t="n">
        <v>5</v>
      </c>
      <c r="AM130" t="n">
        <v>5</v>
      </c>
      <c r="AN130" t="n">
        <v>0</v>
      </c>
      <c r="AO130" t="n">
        <v>0</v>
      </c>
      <c r="AP130" t="inlineStr">
        <is>
          <t>No</t>
        </is>
      </c>
      <c r="AQ130" t="inlineStr">
        <is>
          <t>No</t>
        </is>
      </c>
      <c r="AS130">
        <f>HYPERLINK("https://creighton-primo.hosted.exlibrisgroup.com/primo-explore/search?tab=default_tab&amp;search_scope=EVERYTHING&amp;vid=01CRU&amp;lang=en_US&amp;offset=0&amp;query=any,contains,991001006629702656","Catalog Record")</f>
        <v/>
      </c>
      <c r="AT130">
        <f>HYPERLINK("http://www.worldcat.org/oclc/15251679","WorldCat Record")</f>
        <v/>
      </c>
      <c r="AU130" t="inlineStr">
        <is>
          <t>3901187573:eng</t>
        </is>
      </c>
      <c r="AV130" t="inlineStr">
        <is>
          <t>15251679</t>
        </is>
      </c>
      <c r="AW130" t="inlineStr">
        <is>
          <t>991001006629702656</t>
        </is>
      </c>
      <c r="AX130" t="inlineStr">
        <is>
          <t>991001006629702656</t>
        </is>
      </c>
      <c r="AY130" t="inlineStr">
        <is>
          <t>2255251730002656</t>
        </is>
      </c>
      <c r="AZ130" t="inlineStr">
        <is>
          <t>BOOK</t>
        </is>
      </c>
      <c r="BB130" t="inlineStr">
        <is>
          <t>9780446385527</t>
        </is>
      </c>
      <c r="BC130" t="inlineStr">
        <is>
          <t>32285001128080</t>
        </is>
      </c>
      <c r="BD130" t="inlineStr">
        <is>
          <t>893614693</t>
        </is>
      </c>
    </row>
    <row r="131">
      <c r="A131" t="inlineStr">
        <is>
          <t>No</t>
        </is>
      </c>
      <c r="B131" t="inlineStr">
        <is>
          <t>TT633 .C67 1980</t>
        </is>
      </c>
      <c r="C131" t="inlineStr">
        <is>
          <t>0                      TT 0633000C  67          1980</t>
        </is>
      </c>
      <c r="D131" t="inlineStr">
        <is>
          <t>The costumer's handbook : how to make all kinds of costumes / Rosemary Ingham, Liz Covey.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No</t>
        </is>
      </c>
      <c r="J131" t="inlineStr">
        <is>
          <t>0</t>
        </is>
      </c>
      <c r="K131" t="inlineStr">
        <is>
          <t>Ingham, Rosemary.</t>
        </is>
      </c>
      <c r="L131" t="inlineStr">
        <is>
          <t>Englewood Cliffs, N.J. : Prentice-Hall, c1980.</t>
        </is>
      </c>
      <c r="M131" t="inlineStr">
        <is>
          <t>1980</t>
        </is>
      </c>
      <c r="O131" t="inlineStr">
        <is>
          <t>eng</t>
        </is>
      </c>
      <c r="P131" t="inlineStr">
        <is>
          <t>nju</t>
        </is>
      </c>
      <c r="Q131" t="inlineStr">
        <is>
          <t>A Spectrum book</t>
        </is>
      </c>
      <c r="R131" t="inlineStr">
        <is>
          <t xml:space="preserve">TT </t>
        </is>
      </c>
      <c r="S131" t="n">
        <v>5</v>
      </c>
      <c r="T131" t="n">
        <v>5</v>
      </c>
      <c r="U131" t="inlineStr">
        <is>
          <t>1997-02-26</t>
        </is>
      </c>
      <c r="V131" t="inlineStr">
        <is>
          <t>1997-02-26</t>
        </is>
      </c>
      <c r="W131" t="inlineStr">
        <is>
          <t>1992-01-21</t>
        </is>
      </c>
      <c r="X131" t="inlineStr">
        <is>
          <t>1992-01-21</t>
        </is>
      </c>
      <c r="Y131" t="n">
        <v>953</v>
      </c>
      <c r="Z131" t="n">
        <v>845</v>
      </c>
      <c r="AA131" t="n">
        <v>853</v>
      </c>
      <c r="AB131" t="n">
        <v>8</v>
      </c>
      <c r="AC131" t="n">
        <v>8</v>
      </c>
      <c r="AD131" t="n">
        <v>22</v>
      </c>
      <c r="AE131" t="n">
        <v>22</v>
      </c>
      <c r="AF131" t="n">
        <v>7</v>
      </c>
      <c r="AG131" t="n">
        <v>7</v>
      </c>
      <c r="AH131" t="n">
        <v>5</v>
      </c>
      <c r="AI131" t="n">
        <v>5</v>
      </c>
      <c r="AJ131" t="n">
        <v>6</v>
      </c>
      <c r="AK131" t="n">
        <v>6</v>
      </c>
      <c r="AL131" t="n">
        <v>7</v>
      </c>
      <c r="AM131" t="n">
        <v>7</v>
      </c>
      <c r="AN131" t="n">
        <v>0</v>
      </c>
      <c r="AO131" t="n">
        <v>0</v>
      </c>
      <c r="AP131" t="inlineStr">
        <is>
          <t>No</t>
        </is>
      </c>
      <c r="AQ131" t="inlineStr">
        <is>
          <t>No</t>
        </is>
      </c>
      <c r="AS131">
        <f>HYPERLINK("https://creighton-primo.hosted.exlibrisgroup.com/primo-explore/search?tab=default_tab&amp;search_scope=EVERYTHING&amp;vid=01CRU&amp;lang=en_US&amp;offset=0&amp;query=any,contains,991004762879702656","Catalog Record")</f>
        <v/>
      </c>
      <c r="AT131">
        <f>HYPERLINK("http://www.worldcat.org/oclc/5008371","WorldCat Record")</f>
        <v/>
      </c>
      <c r="AU131" t="inlineStr">
        <is>
          <t>866845856:eng</t>
        </is>
      </c>
      <c r="AV131" t="inlineStr">
        <is>
          <t>5008371</t>
        </is>
      </c>
      <c r="AW131" t="inlineStr">
        <is>
          <t>991004762879702656</t>
        </is>
      </c>
      <c r="AX131" t="inlineStr">
        <is>
          <t>991004762879702656</t>
        </is>
      </c>
      <c r="AY131" t="inlineStr">
        <is>
          <t>2269390550002656</t>
        </is>
      </c>
      <c r="AZ131" t="inlineStr">
        <is>
          <t>BOOK</t>
        </is>
      </c>
      <c r="BB131" t="inlineStr">
        <is>
          <t>9780131812635</t>
        </is>
      </c>
      <c r="BC131" t="inlineStr">
        <is>
          <t>32285000916261</t>
        </is>
      </c>
      <c r="BD131" t="inlineStr">
        <is>
          <t>893411918</t>
        </is>
      </c>
    </row>
    <row r="132">
      <c r="A132" t="inlineStr">
        <is>
          <t>No</t>
        </is>
      </c>
      <c r="B132" t="inlineStr">
        <is>
          <t>TT633 .E74</t>
        </is>
      </c>
      <c r="C132" t="inlineStr">
        <is>
          <t>0                      TT 0633000E  74</t>
        </is>
      </c>
      <c r="D132" t="inlineStr">
        <is>
          <t>Ethnic costume : clothing designs and techniques with an international inspiration / Lois Ericson and Diane Ericson ; illustrated by Diane Ericson.</t>
        </is>
      </c>
      <c r="F132" t="inlineStr">
        <is>
          <t>No</t>
        </is>
      </c>
      <c r="G132" t="inlineStr">
        <is>
          <t>1</t>
        </is>
      </c>
      <c r="H132" t="inlineStr">
        <is>
          <t>No</t>
        </is>
      </c>
      <c r="I132" t="inlineStr">
        <is>
          <t>No</t>
        </is>
      </c>
      <c r="J132" t="inlineStr">
        <is>
          <t>0</t>
        </is>
      </c>
      <c r="K132" t="inlineStr">
        <is>
          <t>Ericson, Lois.</t>
        </is>
      </c>
      <c r="L132" t="inlineStr">
        <is>
          <t>New York : Van Nostrand, 1979.</t>
        </is>
      </c>
      <c r="M132" t="inlineStr">
        <is>
          <t>1979</t>
        </is>
      </c>
      <c r="O132" t="inlineStr">
        <is>
          <t>eng</t>
        </is>
      </c>
      <c r="P132" t="inlineStr">
        <is>
          <t>nyu</t>
        </is>
      </c>
      <c r="R132" t="inlineStr">
        <is>
          <t xml:space="preserve">TT </t>
        </is>
      </c>
      <c r="S132" t="n">
        <v>9</v>
      </c>
      <c r="T132" t="n">
        <v>9</v>
      </c>
      <c r="U132" t="inlineStr">
        <is>
          <t>2004-06-30</t>
        </is>
      </c>
      <c r="V132" t="inlineStr">
        <is>
          <t>2004-06-30</t>
        </is>
      </c>
      <c r="W132" t="inlineStr">
        <is>
          <t>1992-01-23</t>
        </is>
      </c>
      <c r="X132" t="inlineStr">
        <is>
          <t>1992-01-23</t>
        </is>
      </c>
      <c r="Y132" t="n">
        <v>568</v>
      </c>
      <c r="Z132" t="n">
        <v>512</v>
      </c>
      <c r="AA132" t="n">
        <v>537</v>
      </c>
      <c r="AB132" t="n">
        <v>9</v>
      </c>
      <c r="AC132" t="n">
        <v>9</v>
      </c>
      <c r="AD132" t="n">
        <v>5</v>
      </c>
      <c r="AE132" t="n">
        <v>5</v>
      </c>
      <c r="AF132" t="n">
        <v>1</v>
      </c>
      <c r="AG132" t="n">
        <v>1</v>
      </c>
      <c r="AH132" t="n">
        <v>0</v>
      </c>
      <c r="AI132" t="n">
        <v>0</v>
      </c>
      <c r="AJ132" t="n">
        <v>0</v>
      </c>
      <c r="AK132" t="n">
        <v>0</v>
      </c>
      <c r="AL132" t="n">
        <v>4</v>
      </c>
      <c r="AM132" t="n">
        <v>4</v>
      </c>
      <c r="AN132" t="n">
        <v>0</v>
      </c>
      <c r="AO132" t="n">
        <v>0</v>
      </c>
      <c r="AP132" t="inlineStr">
        <is>
          <t>No</t>
        </is>
      </c>
      <c r="AQ132" t="inlineStr">
        <is>
          <t>Yes</t>
        </is>
      </c>
      <c r="AR132">
        <f>HYPERLINK("http://catalog.hathitrust.org/Record/009177854","HathiTrust Record")</f>
        <v/>
      </c>
      <c r="AS132">
        <f>HYPERLINK("https://creighton-primo.hosted.exlibrisgroup.com/primo-explore/search?tab=default_tab&amp;search_scope=EVERYTHING&amp;vid=01CRU&amp;lang=en_US&amp;offset=0&amp;query=any,contains,991004653199702656","Catalog Record")</f>
        <v/>
      </c>
      <c r="AT132">
        <f>HYPERLINK("http://www.worldcat.org/oclc/4494561","WorldCat Record")</f>
        <v/>
      </c>
      <c r="AU132" t="inlineStr">
        <is>
          <t>836664733:eng</t>
        </is>
      </c>
      <c r="AV132" t="inlineStr">
        <is>
          <t>4494561</t>
        </is>
      </c>
      <c r="AW132" t="inlineStr">
        <is>
          <t>991004653199702656</t>
        </is>
      </c>
      <c r="AX132" t="inlineStr">
        <is>
          <t>991004653199702656</t>
        </is>
      </c>
      <c r="AY132" t="inlineStr">
        <is>
          <t>2265276010002656</t>
        </is>
      </c>
      <c r="AZ132" t="inlineStr">
        <is>
          <t>BOOK</t>
        </is>
      </c>
      <c r="BB132" t="inlineStr">
        <is>
          <t>9780442267810</t>
        </is>
      </c>
      <c r="BC132" t="inlineStr">
        <is>
          <t>32285000917368</t>
        </is>
      </c>
      <c r="BD132" t="inlineStr">
        <is>
          <t>893606292</t>
        </is>
      </c>
    </row>
    <row r="133">
      <c r="A133" t="inlineStr">
        <is>
          <t>No</t>
        </is>
      </c>
      <c r="B133" t="inlineStr">
        <is>
          <t>TT633 .H65 1984</t>
        </is>
      </c>
      <c r="C133" t="inlineStr">
        <is>
          <t>0                      TT 0633000H  65          1984</t>
        </is>
      </c>
      <c r="D133" t="inlineStr">
        <is>
          <t>Patterns for theatrical costumes : garments, trims, and accessories from ancient Egypt to 1915 / Katherine Strand Holkeboer.</t>
        </is>
      </c>
      <c r="F133" t="inlineStr">
        <is>
          <t>No</t>
        </is>
      </c>
      <c r="G133" t="inlineStr">
        <is>
          <t>1</t>
        </is>
      </c>
      <c r="H133" t="inlineStr">
        <is>
          <t>No</t>
        </is>
      </c>
      <c r="I133" t="inlineStr">
        <is>
          <t>Yes</t>
        </is>
      </c>
      <c r="J133" t="inlineStr">
        <is>
          <t>0</t>
        </is>
      </c>
      <c r="K133" t="inlineStr">
        <is>
          <t>Strand-Evans, Katherine.</t>
        </is>
      </c>
      <c r="L133" t="inlineStr">
        <is>
          <t>Englewood Cliffs, N.J. : Prentice-Hall, c1984.</t>
        </is>
      </c>
      <c r="M133" t="inlineStr">
        <is>
          <t>1984</t>
        </is>
      </c>
      <c r="O133" t="inlineStr">
        <is>
          <t>eng</t>
        </is>
      </c>
      <c r="P133" t="inlineStr">
        <is>
          <t>nju</t>
        </is>
      </c>
      <c r="R133" t="inlineStr">
        <is>
          <t xml:space="preserve">TT </t>
        </is>
      </c>
      <c r="S133" t="n">
        <v>14</v>
      </c>
      <c r="T133" t="n">
        <v>14</v>
      </c>
      <c r="U133" t="inlineStr">
        <is>
          <t>1997-02-14</t>
        </is>
      </c>
      <c r="V133" t="inlineStr">
        <is>
          <t>1997-02-14</t>
        </is>
      </c>
      <c r="W133" t="inlineStr">
        <is>
          <t>1990-07-11</t>
        </is>
      </c>
      <c r="X133" t="inlineStr">
        <is>
          <t>1990-07-11</t>
        </is>
      </c>
      <c r="Y133" t="n">
        <v>719</v>
      </c>
      <c r="Z133" t="n">
        <v>634</v>
      </c>
      <c r="AA133" t="n">
        <v>1106</v>
      </c>
      <c r="AB133" t="n">
        <v>5</v>
      </c>
      <c r="AC133" t="n">
        <v>9</v>
      </c>
      <c r="AD133" t="n">
        <v>4</v>
      </c>
      <c r="AE133" t="n">
        <v>21</v>
      </c>
      <c r="AF133" t="n">
        <v>1</v>
      </c>
      <c r="AG133" t="n">
        <v>10</v>
      </c>
      <c r="AH133" t="n">
        <v>1</v>
      </c>
      <c r="AI133" t="n">
        <v>4</v>
      </c>
      <c r="AJ133" t="n">
        <v>1</v>
      </c>
      <c r="AK133" t="n">
        <v>7</v>
      </c>
      <c r="AL133" t="n">
        <v>2</v>
      </c>
      <c r="AM133" t="n">
        <v>5</v>
      </c>
      <c r="AN133" t="n">
        <v>0</v>
      </c>
      <c r="AO133" t="n">
        <v>0</v>
      </c>
      <c r="AP133" t="inlineStr">
        <is>
          <t>No</t>
        </is>
      </c>
      <c r="AQ133" t="inlineStr">
        <is>
          <t>Yes</t>
        </is>
      </c>
      <c r="AR133">
        <f>HYPERLINK("http://catalog.hathitrust.org/Record/000325595","HathiTrust Record")</f>
        <v/>
      </c>
      <c r="AS133">
        <f>HYPERLINK("https://creighton-primo.hosted.exlibrisgroup.com/primo-explore/search?tab=default_tab&amp;search_scope=EVERYTHING&amp;vid=01CRU&amp;lang=en_US&amp;offset=0&amp;query=any,contains,991000341419702656","Catalog Record")</f>
        <v/>
      </c>
      <c r="AT133">
        <f>HYPERLINK("http://www.worldcat.org/oclc/10273235","WorldCat Record")</f>
        <v/>
      </c>
      <c r="AU133" t="inlineStr">
        <is>
          <t>3158179:eng</t>
        </is>
      </c>
      <c r="AV133" t="inlineStr">
        <is>
          <t>10273235</t>
        </is>
      </c>
      <c r="AW133" t="inlineStr">
        <is>
          <t>991000341419702656</t>
        </is>
      </c>
      <c r="AX133" t="inlineStr">
        <is>
          <t>991000341419702656</t>
        </is>
      </c>
      <c r="AY133" t="inlineStr">
        <is>
          <t>2267376670002656</t>
        </is>
      </c>
      <c r="AZ133" t="inlineStr">
        <is>
          <t>BOOK</t>
        </is>
      </c>
      <c r="BB133" t="inlineStr">
        <is>
          <t>9780136542780</t>
        </is>
      </c>
      <c r="BC133" t="inlineStr">
        <is>
          <t>32285000235720</t>
        </is>
      </c>
      <c r="BD133" t="inlineStr">
        <is>
          <t>893431876</t>
        </is>
      </c>
    </row>
    <row r="134">
      <c r="A134" t="inlineStr">
        <is>
          <t>No</t>
        </is>
      </c>
      <c r="B134" t="inlineStr">
        <is>
          <t>TT633 .H65 1993</t>
        </is>
      </c>
      <c r="C134" t="inlineStr">
        <is>
          <t>0                      TT 0633000H  65          1993</t>
        </is>
      </c>
      <c r="D134" t="inlineStr">
        <is>
          <t>Patterns for theatrical costumes : garments, trims, and accessories from ancient Egypt to 1915 / Katherine Strand Holkeboer.</t>
        </is>
      </c>
      <c r="F134" t="inlineStr">
        <is>
          <t>No</t>
        </is>
      </c>
      <c r="G134" t="inlineStr">
        <is>
          <t>1</t>
        </is>
      </c>
      <c r="H134" t="inlineStr">
        <is>
          <t>No</t>
        </is>
      </c>
      <c r="I134" t="inlineStr">
        <is>
          <t>Yes</t>
        </is>
      </c>
      <c r="J134" t="inlineStr">
        <is>
          <t>0</t>
        </is>
      </c>
      <c r="K134" t="inlineStr">
        <is>
          <t>Strand-Evans, Katherine.</t>
        </is>
      </c>
      <c r="L134" t="inlineStr">
        <is>
          <t>New York : Drama Book Publishers, 1993, c1984.</t>
        </is>
      </c>
      <c r="M134" t="inlineStr">
        <is>
          <t>1993</t>
        </is>
      </c>
      <c r="N134" t="inlineStr">
        <is>
          <t>1st Drama Book Publishers ed.</t>
        </is>
      </c>
      <c r="O134" t="inlineStr">
        <is>
          <t>eng</t>
        </is>
      </c>
      <c r="P134" t="inlineStr">
        <is>
          <t>nyu</t>
        </is>
      </c>
      <c r="R134" t="inlineStr">
        <is>
          <t xml:space="preserve">TT </t>
        </is>
      </c>
      <c r="S134" t="n">
        <v>12</v>
      </c>
      <c r="T134" t="n">
        <v>12</v>
      </c>
      <c r="U134" t="inlineStr">
        <is>
          <t>2006-04-25</t>
        </is>
      </c>
      <c r="V134" t="inlineStr">
        <is>
          <t>2006-04-25</t>
        </is>
      </c>
      <c r="W134" t="inlineStr">
        <is>
          <t>1997-07-01</t>
        </is>
      </c>
      <c r="X134" t="inlineStr">
        <is>
          <t>1997-07-01</t>
        </is>
      </c>
      <c r="Y134" t="n">
        <v>101</v>
      </c>
      <c r="Z134" t="n">
        <v>73</v>
      </c>
      <c r="AA134" t="n">
        <v>1106</v>
      </c>
      <c r="AB134" t="n">
        <v>2</v>
      </c>
      <c r="AC134" t="n">
        <v>9</v>
      </c>
      <c r="AD134" t="n">
        <v>1</v>
      </c>
      <c r="AE134" t="n">
        <v>21</v>
      </c>
      <c r="AF134" t="n">
        <v>1</v>
      </c>
      <c r="AG134" t="n">
        <v>10</v>
      </c>
      <c r="AH134" t="n">
        <v>1</v>
      </c>
      <c r="AI134" t="n">
        <v>4</v>
      </c>
      <c r="AJ134" t="n">
        <v>0</v>
      </c>
      <c r="AK134" t="n">
        <v>7</v>
      </c>
      <c r="AL134" t="n">
        <v>0</v>
      </c>
      <c r="AM134" t="n">
        <v>5</v>
      </c>
      <c r="AN134" t="n">
        <v>0</v>
      </c>
      <c r="AO134" t="n">
        <v>0</v>
      </c>
      <c r="AP134" t="inlineStr">
        <is>
          <t>No</t>
        </is>
      </c>
      <c r="AQ134" t="inlineStr">
        <is>
          <t>No</t>
        </is>
      </c>
      <c r="AS134">
        <f>HYPERLINK("https://creighton-primo.hosted.exlibrisgroup.com/primo-explore/search?tab=default_tab&amp;search_scope=EVERYTHING&amp;vid=01CRU&amp;lang=en_US&amp;offset=0&amp;query=any,contains,991002440009702656","Catalog Record")</f>
        <v/>
      </c>
      <c r="AT134">
        <f>HYPERLINK("http://www.worldcat.org/oclc/31811042","WorldCat Record")</f>
        <v/>
      </c>
      <c r="AU134" t="inlineStr">
        <is>
          <t>3158179:eng</t>
        </is>
      </c>
      <c r="AV134" t="inlineStr">
        <is>
          <t>31811042</t>
        </is>
      </c>
      <c r="AW134" t="inlineStr">
        <is>
          <t>991002440009702656</t>
        </is>
      </c>
      <c r="AX134" t="inlineStr">
        <is>
          <t>991002440009702656</t>
        </is>
      </c>
      <c r="AY134" t="inlineStr">
        <is>
          <t>2256808840002656</t>
        </is>
      </c>
      <c r="AZ134" t="inlineStr">
        <is>
          <t>BOOK</t>
        </is>
      </c>
      <c r="BB134" t="inlineStr">
        <is>
          <t>9780896761254</t>
        </is>
      </c>
      <c r="BC134" t="inlineStr">
        <is>
          <t>32285002754637</t>
        </is>
      </c>
      <c r="BD134" t="inlineStr">
        <is>
          <t>893622282</t>
        </is>
      </c>
    </row>
    <row r="135">
      <c r="A135" t="inlineStr">
        <is>
          <t>No</t>
        </is>
      </c>
      <c r="B135" t="inlineStr">
        <is>
          <t>TT649 .D4 1992</t>
        </is>
      </c>
      <c r="C135" t="inlineStr">
        <is>
          <t>0                      TT 0649000D  4           1992</t>
        </is>
      </c>
      <c r="D135" t="inlineStr">
        <is>
          <t>Elegantly frugal costumes : the poor man's do-it-yourself costume maker's guide / by Shirley Dearing ; illustrations by Beth Tallakson.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K135" t="inlineStr">
        <is>
          <t>Dearing, Shirley, 1931-</t>
        </is>
      </c>
      <c r="L135" t="inlineStr">
        <is>
          <t>Colorado Springs, CO : Meriwether Pub. Co., c1992.</t>
        </is>
      </c>
      <c r="M135" t="inlineStr">
        <is>
          <t>1992</t>
        </is>
      </c>
      <c r="N135" t="inlineStr">
        <is>
          <t>1st ed.</t>
        </is>
      </c>
      <c r="O135" t="inlineStr">
        <is>
          <t>eng</t>
        </is>
      </c>
      <c r="P135" t="inlineStr">
        <is>
          <t>cou</t>
        </is>
      </c>
      <c r="R135" t="inlineStr">
        <is>
          <t xml:space="preserve">TT </t>
        </is>
      </c>
      <c r="S135" t="n">
        <v>5</v>
      </c>
      <c r="T135" t="n">
        <v>5</v>
      </c>
      <c r="U135" t="inlineStr">
        <is>
          <t>1997-01-31</t>
        </is>
      </c>
      <c r="V135" t="inlineStr">
        <is>
          <t>1997-01-31</t>
        </is>
      </c>
      <c r="W135" t="inlineStr">
        <is>
          <t>1996-05-14</t>
        </is>
      </c>
      <c r="X135" t="inlineStr">
        <is>
          <t>1996-05-14</t>
        </is>
      </c>
      <c r="Y135" t="n">
        <v>537</v>
      </c>
      <c r="Z135" t="n">
        <v>476</v>
      </c>
      <c r="AA135" t="n">
        <v>481</v>
      </c>
      <c r="AB135" t="n">
        <v>6</v>
      </c>
      <c r="AC135" t="n">
        <v>6</v>
      </c>
      <c r="AD135" t="n">
        <v>4</v>
      </c>
      <c r="AE135" t="n">
        <v>4</v>
      </c>
      <c r="AF135" t="n">
        <v>2</v>
      </c>
      <c r="AG135" t="n">
        <v>2</v>
      </c>
      <c r="AH135" t="n">
        <v>2</v>
      </c>
      <c r="AI135" t="n">
        <v>2</v>
      </c>
      <c r="AJ135" t="n">
        <v>1</v>
      </c>
      <c r="AK135" t="n">
        <v>1</v>
      </c>
      <c r="AL135" t="n">
        <v>0</v>
      </c>
      <c r="AM135" t="n">
        <v>0</v>
      </c>
      <c r="AN135" t="n">
        <v>0</v>
      </c>
      <c r="AO135" t="n">
        <v>0</v>
      </c>
      <c r="AP135" t="inlineStr">
        <is>
          <t>No</t>
        </is>
      </c>
      <c r="AQ135" t="inlineStr">
        <is>
          <t>No</t>
        </is>
      </c>
      <c r="AS135">
        <f>HYPERLINK("https://creighton-primo.hosted.exlibrisgroup.com/primo-explore/search?tab=default_tab&amp;search_scope=EVERYTHING&amp;vid=01CRU&amp;lang=en_US&amp;offset=0&amp;query=any,contains,991002046739702656","Catalog Record")</f>
        <v/>
      </c>
      <c r="AT135">
        <f>HYPERLINK("http://www.worldcat.org/oclc/26129788","WorldCat Record")</f>
        <v/>
      </c>
      <c r="AU135" t="inlineStr">
        <is>
          <t>335385427:eng</t>
        </is>
      </c>
      <c r="AV135" t="inlineStr">
        <is>
          <t>26129788</t>
        </is>
      </c>
      <c r="AW135" t="inlineStr">
        <is>
          <t>991002046739702656</t>
        </is>
      </c>
      <c r="AX135" t="inlineStr">
        <is>
          <t>991002046739702656</t>
        </is>
      </c>
      <c r="AY135" t="inlineStr">
        <is>
          <t>2270945880002656</t>
        </is>
      </c>
      <c r="AZ135" t="inlineStr">
        <is>
          <t>BOOK</t>
        </is>
      </c>
      <c r="BB135" t="inlineStr">
        <is>
          <t>9780916260880</t>
        </is>
      </c>
      <c r="BC135" t="inlineStr">
        <is>
          <t>32285002167723</t>
        </is>
      </c>
      <c r="BD135" t="inlineStr">
        <is>
          <t>893603145</t>
        </is>
      </c>
    </row>
    <row r="136">
      <c r="A136" t="inlineStr">
        <is>
          <t>No</t>
        </is>
      </c>
      <c r="B136" t="inlineStr">
        <is>
          <t>TT655 .B5 1992</t>
        </is>
      </c>
      <c r="C136" t="inlineStr">
        <is>
          <t>0                      TT 0655000B  5           1992</t>
        </is>
      </c>
      <c r="D136" t="inlineStr">
        <is>
          <t>Edwardian hats : the art of millinery (1909) / by Anna Ben-Yusuf ; enlarged &amp; edited by R.L. Shep.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K136" t="inlineStr">
        <is>
          <t>Ben-Yûsuf, Anna.</t>
        </is>
      </c>
      <c r="L136" t="inlineStr">
        <is>
          <t>Mendocino, CA : R.L. Shep, c1992.</t>
        </is>
      </c>
      <c r="M136" t="inlineStr">
        <is>
          <t>1992</t>
        </is>
      </c>
      <c r="O136" t="inlineStr">
        <is>
          <t>eng</t>
        </is>
      </c>
      <c r="P136" t="inlineStr">
        <is>
          <t>cau</t>
        </is>
      </c>
      <c r="R136" t="inlineStr">
        <is>
          <t xml:space="preserve">TT </t>
        </is>
      </c>
      <c r="S136" t="n">
        <v>4</v>
      </c>
      <c r="T136" t="n">
        <v>4</v>
      </c>
      <c r="U136" t="inlineStr">
        <is>
          <t>2009-03-20</t>
        </is>
      </c>
      <c r="V136" t="inlineStr">
        <is>
          <t>2009-03-20</t>
        </is>
      </c>
      <c r="W136" t="inlineStr">
        <is>
          <t>1996-05-09</t>
        </is>
      </c>
      <c r="X136" t="inlineStr">
        <is>
          <t>1996-05-09</t>
        </is>
      </c>
      <c r="Y136" t="n">
        <v>180</v>
      </c>
      <c r="Z136" t="n">
        <v>150</v>
      </c>
      <c r="AA136" t="n">
        <v>151</v>
      </c>
      <c r="AB136" t="n">
        <v>3</v>
      </c>
      <c r="AC136" t="n">
        <v>3</v>
      </c>
      <c r="AD136" t="n">
        <v>9</v>
      </c>
      <c r="AE136" t="n">
        <v>9</v>
      </c>
      <c r="AF136" t="n">
        <v>3</v>
      </c>
      <c r="AG136" t="n">
        <v>3</v>
      </c>
      <c r="AH136" t="n">
        <v>3</v>
      </c>
      <c r="AI136" t="n">
        <v>3</v>
      </c>
      <c r="AJ136" t="n">
        <v>4</v>
      </c>
      <c r="AK136" t="n">
        <v>4</v>
      </c>
      <c r="AL136" t="n">
        <v>2</v>
      </c>
      <c r="AM136" t="n">
        <v>2</v>
      </c>
      <c r="AN136" t="n">
        <v>0</v>
      </c>
      <c r="AO136" t="n">
        <v>0</v>
      </c>
      <c r="AP136" t="inlineStr">
        <is>
          <t>No</t>
        </is>
      </c>
      <c r="AQ136" t="inlineStr">
        <is>
          <t>Yes</t>
        </is>
      </c>
      <c r="AR136">
        <f>HYPERLINK("http://catalog.hathitrust.org/Record/006807421","HathiTrust Record")</f>
        <v/>
      </c>
      <c r="AS136">
        <f>HYPERLINK("https://creighton-primo.hosted.exlibrisgroup.com/primo-explore/search?tab=default_tab&amp;search_scope=EVERYTHING&amp;vid=01CRU&amp;lang=en_US&amp;offset=0&amp;query=any,contains,991002016409702656","Catalog Record")</f>
        <v/>
      </c>
      <c r="AT136">
        <f>HYPERLINK("http://www.worldcat.org/oclc/25632389","WorldCat Record")</f>
        <v/>
      </c>
      <c r="AU136" t="inlineStr">
        <is>
          <t>28307206:eng</t>
        </is>
      </c>
      <c r="AV136" t="inlineStr">
        <is>
          <t>25632389</t>
        </is>
      </c>
      <c r="AW136" t="inlineStr">
        <is>
          <t>991002016409702656</t>
        </is>
      </c>
      <c r="AX136" t="inlineStr">
        <is>
          <t>991002016409702656</t>
        </is>
      </c>
      <c r="AY136" t="inlineStr">
        <is>
          <t>2268235340002656</t>
        </is>
      </c>
      <c r="AZ136" t="inlineStr">
        <is>
          <t>BOOK</t>
        </is>
      </c>
      <c r="BB136" t="inlineStr">
        <is>
          <t>9780914046158</t>
        </is>
      </c>
      <c r="BC136" t="inlineStr">
        <is>
          <t>32285002166121</t>
        </is>
      </c>
      <c r="BD136" t="inlineStr">
        <is>
          <t>893892035</t>
        </is>
      </c>
    </row>
    <row r="137">
      <c r="A137" t="inlineStr">
        <is>
          <t>No</t>
        </is>
      </c>
      <c r="B137" t="inlineStr">
        <is>
          <t>TT698 .D78</t>
        </is>
      </c>
      <c r="C137" t="inlineStr">
        <is>
          <t>0                      TT 0698000D  78</t>
        </is>
      </c>
      <c r="D137" t="inlineStr">
        <is>
          <t>Occupational handicrafts.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K137" t="inlineStr">
        <is>
          <t>Dryad Handicrafts (Firm)</t>
        </is>
      </c>
      <c r="L137" t="inlineStr">
        <is>
          <t>Leicester, [Eng.] : Dryad Handicrafts [1951]</t>
        </is>
      </c>
      <c r="M137" t="inlineStr">
        <is>
          <t>1951</t>
        </is>
      </c>
      <c r="O137" t="inlineStr">
        <is>
          <t>eng</t>
        </is>
      </c>
      <c r="P137" t="inlineStr">
        <is>
          <t>enk</t>
        </is>
      </c>
      <c r="R137" t="inlineStr">
        <is>
          <t xml:space="preserve">TT </t>
        </is>
      </c>
      <c r="S137" t="n">
        <v>4</v>
      </c>
      <c r="T137" t="n">
        <v>4</v>
      </c>
      <c r="U137" t="inlineStr">
        <is>
          <t>1999-10-12</t>
        </is>
      </c>
      <c r="V137" t="inlineStr">
        <is>
          <t>1999-10-12</t>
        </is>
      </c>
      <c r="W137" t="inlineStr">
        <is>
          <t>1997-08-29</t>
        </is>
      </c>
      <c r="X137" t="inlineStr">
        <is>
          <t>1997-08-29</t>
        </is>
      </c>
      <c r="Y137" t="n">
        <v>27</v>
      </c>
      <c r="Z137" t="n">
        <v>27</v>
      </c>
      <c r="AA137" t="n">
        <v>59</v>
      </c>
      <c r="AB137" t="n">
        <v>2</v>
      </c>
      <c r="AC137" t="n">
        <v>3</v>
      </c>
      <c r="AD137" t="n">
        <v>2</v>
      </c>
      <c r="AE137" t="n">
        <v>5</v>
      </c>
      <c r="AF137" t="n">
        <v>1</v>
      </c>
      <c r="AG137" t="n">
        <v>3</v>
      </c>
      <c r="AH137" t="n">
        <v>0</v>
      </c>
      <c r="AI137" t="n">
        <v>0</v>
      </c>
      <c r="AJ137" t="n">
        <v>0</v>
      </c>
      <c r="AK137" t="n">
        <v>0</v>
      </c>
      <c r="AL137" t="n">
        <v>1</v>
      </c>
      <c r="AM137" t="n">
        <v>2</v>
      </c>
      <c r="AN137" t="n">
        <v>0</v>
      </c>
      <c r="AO137" t="n">
        <v>0</v>
      </c>
      <c r="AP137" t="inlineStr">
        <is>
          <t>No</t>
        </is>
      </c>
      <c r="AQ137" t="inlineStr">
        <is>
          <t>No</t>
        </is>
      </c>
      <c r="AS137">
        <f>HYPERLINK("https://creighton-primo.hosted.exlibrisgroup.com/primo-explore/search?tab=default_tab&amp;search_scope=EVERYTHING&amp;vid=01CRU&amp;lang=en_US&amp;offset=0&amp;query=any,contains,991000843419702656","Catalog Record")</f>
        <v/>
      </c>
      <c r="AT137">
        <f>HYPERLINK("http://www.worldcat.org/oclc/13530513","WorldCat Record")</f>
        <v/>
      </c>
      <c r="AU137" t="inlineStr">
        <is>
          <t>1780678093:eng</t>
        </is>
      </c>
      <c r="AV137" t="inlineStr">
        <is>
          <t>13530513</t>
        </is>
      </c>
      <c r="AW137" t="inlineStr">
        <is>
          <t>991000843419702656</t>
        </is>
      </c>
      <c r="AX137" t="inlineStr">
        <is>
          <t>991000843419702656</t>
        </is>
      </c>
      <c r="AY137" t="inlineStr">
        <is>
          <t>2259361840002656</t>
        </is>
      </c>
      <c r="AZ137" t="inlineStr">
        <is>
          <t>BOOK</t>
        </is>
      </c>
      <c r="BC137" t="inlineStr">
        <is>
          <t>32285003120101</t>
        </is>
      </c>
      <c r="BD137" t="inlineStr">
        <is>
          <t>893690088</t>
        </is>
      </c>
    </row>
    <row r="138">
      <c r="A138" t="inlineStr">
        <is>
          <t>No</t>
        </is>
      </c>
      <c r="B138" t="inlineStr">
        <is>
          <t>TT771 .S55 1968</t>
        </is>
      </c>
      <c r="C138" t="inlineStr">
        <is>
          <t>0                      TT 0771000S  55          1968</t>
        </is>
      </c>
      <c r="D138" t="inlineStr">
        <is>
          <t>Sylvia Sidney needlepoint book / [by] Sylvia Sidney with Alfred Allen Lewis.</t>
        </is>
      </c>
      <c r="F138" t="inlineStr">
        <is>
          <t>No</t>
        </is>
      </c>
      <c r="G138" t="inlineStr">
        <is>
          <t>1</t>
        </is>
      </c>
      <c r="H138" t="inlineStr">
        <is>
          <t>No</t>
        </is>
      </c>
      <c r="I138" t="inlineStr">
        <is>
          <t>No</t>
        </is>
      </c>
      <c r="J138" t="inlineStr">
        <is>
          <t>0</t>
        </is>
      </c>
      <c r="K138" t="inlineStr">
        <is>
          <t>Sidney, Sylvia, 1910-1999.</t>
        </is>
      </c>
      <c r="L138" t="inlineStr">
        <is>
          <t>New York : Reinhold Book Corp., [1968]</t>
        </is>
      </c>
      <c r="M138" t="inlineStr">
        <is>
          <t>1968</t>
        </is>
      </c>
      <c r="O138" t="inlineStr">
        <is>
          <t>eng</t>
        </is>
      </c>
      <c r="P138" t="inlineStr">
        <is>
          <t>nyu</t>
        </is>
      </c>
      <c r="R138" t="inlineStr">
        <is>
          <t xml:space="preserve">TT </t>
        </is>
      </c>
      <c r="S138" t="n">
        <v>1</v>
      </c>
      <c r="T138" t="n">
        <v>1</v>
      </c>
      <c r="U138" t="inlineStr">
        <is>
          <t>1995-08-30</t>
        </is>
      </c>
      <c r="V138" t="inlineStr">
        <is>
          <t>1995-08-30</t>
        </is>
      </c>
      <c r="W138" t="inlineStr">
        <is>
          <t>1990-02-07</t>
        </is>
      </c>
      <c r="X138" t="inlineStr">
        <is>
          <t>1990-02-07</t>
        </is>
      </c>
      <c r="Y138" t="n">
        <v>415</v>
      </c>
      <c r="Z138" t="n">
        <v>400</v>
      </c>
      <c r="AA138" t="n">
        <v>475</v>
      </c>
      <c r="AB138" t="n">
        <v>3</v>
      </c>
      <c r="AC138" t="n">
        <v>4</v>
      </c>
      <c r="AD138" t="n">
        <v>2</v>
      </c>
      <c r="AE138" t="n">
        <v>2</v>
      </c>
      <c r="AF138" t="n">
        <v>1</v>
      </c>
      <c r="AG138" t="n">
        <v>1</v>
      </c>
      <c r="AH138" t="n">
        <v>0</v>
      </c>
      <c r="AI138" t="n">
        <v>0</v>
      </c>
      <c r="AJ138" t="n">
        <v>0</v>
      </c>
      <c r="AK138" t="n">
        <v>0</v>
      </c>
      <c r="AL138" t="n">
        <v>1</v>
      </c>
      <c r="AM138" t="n">
        <v>1</v>
      </c>
      <c r="AN138" t="n">
        <v>0</v>
      </c>
      <c r="AO138" t="n">
        <v>0</v>
      </c>
      <c r="AP138" t="inlineStr">
        <is>
          <t>No</t>
        </is>
      </c>
      <c r="AQ138" t="inlineStr">
        <is>
          <t>No</t>
        </is>
      </c>
      <c r="AS138">
        <f>HYPERLINK("https://creighton-primo.hosted.exlibrisgroup.com/primo-explore/search?tab=default_tab&amp;search_scope=EVERYTHING&amp;vid=01CRU&amp;lang=en_US&amp;offset=0&amp;query=any,contains,991002254479702656","Catalog Record")</f>
        <v/>
      </c>
      <c r="AT138">
        <f>HYPERLINK("http://www.worldcat.org/oclc/300946","WorldCat Record")</f>
        <v/>
      </c>
      <c r="AU138" t="inlineStr">
        <is>
          <t>1342901:eng</t>
        </is>
      </c>
      <c r="AV138" t="inlineStr">
        <is>
          <t>300946</t>
        </is>
      </c>
      <c r="AW138" t="inlineStr">
        <is>
          <t>991002254479702656</t>
        </is>
      </c>
      <c r="AX138" t="inlineStr">
        <is>
          <t>991002254479702656</t>
        </is>
      </c>
      <c r="AY138" t="inlineStr">
        <is>
          <t>2269420580002656</t>
        </is>
      </c>
      <c r="AZ138" t="inlineStr">
        <is>
          <t>BOOK</t>
        </is>
      </c>
      <c r="BC138" t="inlineStr">
        <is>
          <t>32285000033752</t>
        </is>
      </c>
      <c r="BD138" t="inlineStr">
        <is>
          <t>893798372</t>
        </is>
      </c>
    </row>
    <row r="139">
      <c r="A139" t="inlineStr">
        <is>
          <t>No</t>
        </is>
      </c>
      <c r="B139" t="inlineStr">
        <is>
          <t>TT778.C3 L27 1977</t>
        </is>
      </c>
      <c r="C139" t="inlineStr">
        <is>
          <t>0                      TT 0778000C  3                  L  27          1977</t>
        </is>
      </c>
      <c r="D139" t="inlineStr">
        <is>
          <t>Needlework designs from the American Indians : traditional patterns of the Southeastern tribes / Anne Cheek Landsman.</t>
        </is>
      </c>
      <c r="F139" t="inlineStr">
        <is>
          <t>No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K139" t="inlineStr">
        <is>
          <t>Landsman, Anne Cheek, 1948-</t>
        </is>
      </c>
      <c r="L139" t="inlineStr">
        <is>
          <t>South Brunswick, [N.J.] : A. S. Barnes, c1977.</t>
        </is>
      </c>
      <c r="M139" t="inlineStr">
        <is>
          <t>1977</t>
        </is>
      </c>
      <c r="O139" t="inlineStr">
        <is>
          <t>eng</t>
        </is>
      </c>
      <c r="P139" t="inlineStr">
        <is>
          <t>nju</t>
        </is>
      </c>
      <c r="R139" t="inlineStr">
        <is>
          <t xml:space="preserve">TT </t>
        </is>
      </c>
      <c r="S139" t="n">
        <v>1</v>
      </c>
      <c r="T139" t="n">
        <v>1</v>
      </c>
      <c r="U139" t="inlineStr">
        <is>
          <t>2003-05-29</t>
        </is>
      </c>
      <c r="V139" t="inlineStr">
        <is>
          <t>2003-05-29</t>
        </is>
      </c>
      <c r="W139" t="inlineStr">
        <is>
          <t>2003-05-29</t>
        </is>
      </c>
      <c r="X139" t="inlineStr">
        <is>
          <t>2003-05-29</t>
        </is>
      </c>
      <c r="Y139" t="n">
        <v>445</v>
      </c>
      <c r="Z139" t="n">
        <v>419</v>
      </c>
      <c r="AA139" t="n">
        <v>420</v>
      </c>
      <c r="AB139" t="n">
        <v>3</v>
      </c>
      <c r="AC139" t="n">
        <v>3</v>
      </c>
      <c r="AD139" t="n">
        <v>4</v>
      </c>
      <c r="AE139" t="n">
        <v>4</v>
      </c>
      <c r="AF139" t="n">
        <v>0</v>
      </c>
      <c r="AG139" t="n">
        <v>0</v>
      </c>
      <c r="AH139" t="n">
        <v>1</v>
      </c>
      <c r="AI139" t="n">
        <v>1</v>
      </c>
      <c r="AJ139" t="n">
        <v>0</v>
      </c>
      <c r="AK139" t="n">
        <v>0</v>
      </c>
      <c r="AL139" t="n">
        <v>2</v>
      </c>
      <c r="AM139" t="n">
        <v>2</v>
      </c>
      <c r="AN139" t="n">
        <v>1</v>
      </c>
      <c r="AO139" t="n">
        <v>1</v>
      </c>
      <c r="AP139" t="inlineStr">
        <is>
          <t>No</t>
        </is>
      </c>
      <c r="AQ139" t="inlineStr">
        <is>
          <t>No</t>
        </is>
      </c>
      <c r="AS139">
        <f>HYPERLINK("https://creighton-primo.hosted.exlibrisgroup.com/primo-explore/search?tab=default_tab&amp;search_scope=EVERYTHING&amp;vid=01CRU&amp;lang=en_US&amp;offset=0&amp;query=any,contains,991004066849702656","Catalog Record")</f>
        <v/>
      </c>
      <c r="AT139">
        <f>HYPERLINK("http://www.worldcat.org/oclc/3017769","WorldCat Record")</f>
        <v/>
      </c>
      <c r="AU139" t="inlineStr">
        <is>
          <t>962293573:eng</t>
        </is>
      </c>
      <c r="AV139" t="inlineStr">
        <is>
          <t>3017769</t>
        </is>
      </c>
      <c r="AW139" t="inlineStr">
        <is>
          <t>991004066849702656</t>
        </is>
      </c>
      <c r="AX139" t="inlineStr">
        <is>
          <t>991004066849702656</t>
        </is>
      </c>
      <c r="AY139" t="inlineStr">
        <is>
          <t>2269980330002656</t>
        </is>
      </c>
      <c r="AZ139" t="inlineStr">
        <is>
          <t>BOOK</t>
        </is>
      </c>
      <c r="BB139" t="inlineStr">
        <is>
          <t>9780498018046</t>
        </is>
      </c>
      <c r="BC139" t="inlineStr">
        <is>
          <t>32285004748736</t>
        </is>
      </c>
      <c r="BD139" t="inlineStr">
        <is>
          <t>893800543</t>
        </is>
      </c>
    </row>
    <row r="140">
      <c r="A140" t="inlineStr">
        <is>
          <t>No</t>
        </is>
      </c>
      <c r="B140" t="inlineStr">
        <is>
          <t>TT848 .M47 1987</t>
        </is>
      </c>
      <c r="C140" t="inlineStr">
        <is>
          <t>0                      TT 0848000M  47          1987</t>
        </is>
      </c>
      <c r="D140" t="inlineStr">
        <is>
          <t>Spanish-American blanketry : its relationship to aboriginal weaving in the Southwest / by H.P. Mera ; with an introduction by Kate Peck Kent ; and a foreword by E. Boyd.</t>
        </is>
      </c>
      <c r="F140" t="inlineStr">
        <is>
          <t>No</t>
        </is>
      </c>
      <c r="G140" t="inlineStr">
        <is>
          <t>1</t>
        </is>
      </c>
      <c r="H140" t="inlineStr">
        <is>
          <t>No</t>
        </is>
      </c>
      <c r="I140" t="inlineStr">
        <is>
          <t>No</t>
        </is>
      </c>
      <c r="J140" t="inlineStr">
        <is>
          <t>0</t>
        </is>
      </c>
      <c r="K140" t="inlineStr">
        <is>
          <t>Mera, H. P. (Harry Percival), 1875-1951.</t>
        </is>
      </c>
      <c r="L140" t="inlineStr">
        <is>
          <t>Santa Fe, N.M. : School of American Research Press, c1987.</t>
        </is>
      </c>
      <c r="M140" t="inlineStr">
        <is>
          <t>1987</t>
        </is>
      </c>
      <c r="O140" t="inlineStr">
        <is>
          <t>eng</t>
        </is>
      </c>
      <c r="P140" t="inlineStr">
        <is>
          <t>nmu</t>
        </is>
      </c>
      <c r="R140" t="inlineStr">
        <is>
          <t xml:space="preserve">TT </t>
        </is>
      </c>
      <c r="S140" t="n">
        <v>1</v>
      </c>
      <c r="T140" t="n">
        <v>1</v>
      </c>
      <c r="U140" t="inlineStr">
        <is>
          <t>2004-12-13</t>
        </is>
      </c>
      <c r="V140" t="inlineStr">
        <is>
          <t>2004-12-13</t>
        </is>
      </c>
      <c r="W140" t="inlineStr">
        <is>
          <t>2004-12-13</t>
        </is>
      </c>
      <c r="X140" t="inlineStr">
        <is>
          <t>2004-12-13</t>
        </is>
      </c>
      <c r="Y140" t="n">
        <v>421</v>
      </c>
      <c r="Z140" t="n">
        <v>391</v>
      </c>
      <c r="AA140" t="n">
        <v>396</v>
      </c>
      <c r="AB140" t="n">
        <v>4</v>
      </c>
      <c r="AC140" t="n">
        <v>4</v>
      </c>
      <c r="AD140" t="n">
        <v>5</v>
      </c>
      <c r="AE140" t="n">
        <v>5</v>
      </c>
      <c r="AF140" t="n">
        <v>0</v>
      </c>
      <c r="AG140" t="n">
        <v>0</v>
      </c>
      <c r="AH140" t="n">
        <v>2</v>
      </c>
      <c r="AI140" t="n">
        <v>2</v>
      </c>
      <c r="AJ140" t="n">
        <v>1</v>
      </c>
      <c r="AK140" t="n">
        <v>1</v>
      </c>
      <c r="AL140" t="n">
        <v>2</v>
      </c>
      <c r="AM140" t="n">
        <v>2</v>
      </c>
      <c r="AN140" t="n">
        <v>0</v>
      </c>
      <c r="AO140" t="n">
        <v>0</v>
      </c>
      <c r="AP140" t="inlineStr">
        <is>
          <t>No</t>
        </is>
      </c>
      <c r="AQ140" t="inlineStr">
        <is>
          <t>No</t>
        </is>
      </c>
      <c r="AS140">
        <f>HYPERLINK("https://creighton-primo.hosted.exlibrisgroup.com/primo-explore/search?tab=default_tab&amp;search_scope=EVERYTHING&amp;vid=01CRU&amp;lang=en_US&amp;offset=0&amp;query=any,contains,991004366119702656","Catalog Record")</f>
        <v/>
      </c>
      <c r="AT140">
        <f>HYPERLINK("http://www.worldcat.org/oclc/15792500","WorldCat Record")</f>
        <v/>
      </c>
      <c r="AU140" t="inlineStr">
        <is>
          <t>147951650:eng</t>
        </is>
      </c>
      <c r="AV140" t="inlineStr">
        <is>
          <t>15792500</t>
        </is>
      </c>
      <c r="AW140" t="inlineStr">
        <is>
          <t>991004366119702656</t>
        </is>
      </c>
      <c r="AX140" t="inlineStr">
        <is>
          <t>991004366119702656</t>
        </is>
      </c>
      <c r="AY140" t="inlineStr">
        <is>
          <t>2261294950002656</t>
        </is>
      </c>
      <c r="AZ140" t="inlineStr">
        <is>
          <t>BOOK</t>
        </is>
      </c>
      <c r="BB140" t="inlineStr">
        <is>
          <t>9780933452213</t>
        </is>
      </c>
      <c r="BC140" t="inlineStr">
        <is>
          <t>32285005016448</t>
        </is>
      </c>
      <c r="BD140" t="inlineStr">
        <is>
          <t>893593598</t>
        </is>
      </c>
    </row>
    <row r="141">
      <c r="A141" t="inlineStr">
        <is>
          <t>No</t>
        </is>
      </c>
      <c r="B141" t="inlineStr">
        <is>
          <t>TT851 .D79 1981</t>
        </is>
      </c>
      <c r="C141" t="inlineStr">
        <is>
          <t>0                      TT 0851000D  79          1981</t>
        </is>
      </c>
      <c r="D141" t="inlineStr">
        <is>
          <t>Fabric painting &amp; dyeing for the theatre / Deborah M. Dryden.</t>
        </is>
      </c>
      <c r="F141" t="inlineStr">
        <is>
          <t>No</t>
        </is>
      </c>
      <c r="G141" t="inlineStr">
        <is>
          <t>1</t>
        </is>
      </c>
      <c r="H141" t="inlineStr">
        <is>
          <t>No</t>
        </is>
      </c>
      <c r="I141" t="inlineStr">
        <is>
          <t>Yes</t>
        </is>
      </c>
      <c r="J141" t="inlineStr">
        <is>
          <t>0</t>
        </is>
      </c>
      <c r="K141" t="inlineStr">
        <is>
          <t>Dryden, Deborah M.</t>
        </is>
      </c>
      <c r="L141" t="inlineStr">
        <is>
          <t>New York : Drama Book Specialists, c1981.</t>
        </is>
      </c>
      <c r="M141" t="inlineStr">
        <is>
          <t>1981</t>
        </is>
      </c>
      <c r="N141" t="inlineStr">
        <is>
          <t>1st ed.</t>
        </is>
      </c>
      <c r="O141" t="inlineStr">
        <is>
          <t>eng</t>
        </is>
      </c>
      <c r="P141" t="inlineStr">
        <is>
          <t>nyu</t>
        </is>
      </c>
      <c r="R141" t="inlineStr">
        <is>
          <t xml:space="preserve">TT </t>
        </is>
      </c>
      <c r="S141" t="n">
        <v>11</v>
      </c>
      <c r="T141" t="n">
        <v>11</v>
      </c>
      <c r="U141" t="inlineStr">
        <is>
          <t>1999-10-28</t>
        </is>
      </c>
      <c r="V141" t="inlineStr">
        <is>
          <t>1999-10-28</t>
        </is>
      </c>
      <c r="W141" t="inlineStr">
        <is>
          <t>1993-08-03</t>
        </is>
      </c>
      <c r="X141" t="inlineStr">
        <is>
          <t>1993-08-03</t>
        </is>
      </c>
      <c r="Y141" t="n">
        <v>379</v>
      </c>
      <c r="Z141" t="n">
        <v>348</v>
      </c>
      <c r="AA141" t="n">
        <v>538</v>
      </c>
      <c r="AB141" t="n">
        <v>1</v>
      </c>
      <c r="AC141" t="n">
        <v>3</v>
      </c>
      <c r="AD141" t="n">
        <v>11</v>
      </c>
      <c r="AE141" t="n">
        <v>26</v>
      </c>
      <c r="AF141" t="n">
        <v>4</v>
      </c>
      <c r="AG141" t="n">
        <v>14</v>
      </c>
      <c r="AH141" t="n">
        <v>4</v>
      </c>
      <c r="AI141" t="n">
        <v>5</v>
      </c>
      <c r="AJ141" t="n">
        <v>5</v>
      </c>
      <c r="AK141" t="n">
        <v>12</v>
      </c>
      <c r="AL141" t="n">
        <v>0</v>
      </c>
      <c r="AM141" t="n">
        <v>2</v>
      </c>
      <c r="AN141" t="n">
        <v>0</v>
      </c>
      <c r="AO141" t="n">
        <v>0</v>
      </c>
      <c r="AP141" t="inlineStr">
        <is>
          <t>No</t>
        </is>
      </c>
      <c r="AQ141" t="inlineStr">
        <is>
          <t>Yes</t>
        </is>
      </c>
      <c r="AR141">
        <f>HYPERLINK("http://catalog.hathitrust.org/Record/000760571","HathiTrust Record")</f>
        <v/>
      </c>
      <c r="AS141">
        <f>HYPERLINK("https://creighton-primo.hosted.exlibrisgroup.com/primo-explore/search?tab=default_tab&amp;search_scope=EVERYTHING&amp;vid=01CRU&amp;lang=en_US&amp;offset=0&amp;query=any,contains,991005117559702656","Catalog Record")</f>
        <v/>
      </c>
      <c r="AT141">
        <f>HYPERLINK("http://www.worldcat.org/oclc/7464495","WorldCat Record")</f>
        <v/>
      </c>
      <c r="AU141" t="inlineStr">
        <is>
          <t>30800228:eng</t>
        </is>
      </c>
      <c r="AV141" t="inlineStr">
        <is>
          <t>7464495</t>
        </is>
      </c>
      <c r="AW141" t="inlineStr">
        <is>
          <t>991005117559702656</t>
        </is>
      </c>
      <c r="AX141" t="inlineStr">
        <is>
          <t>991005117559702656</t>
        </is>
      </c>
      <c r="AY141" t="inlineStr">
        <is>
          <t>2262377810002656</t>
        </is>
      </c>
      <c r="AZ141" t="inlineStr">
        <is>
          <t>BOOK</t>
        </is>
      </c>
      <c r="BB141" t="inlineStr">
        <is>
          <t>9780896760561</t>
        </is>
      </c>
      <c r="BC141" t="inlineStr">
        <is>
          <t>32285001748937</t>
        </is>
      </c>
      <c r="BD141" t="inlineStr">
        <is>
          <t>893424563</t>
        </is>
      </c>
    </row>
    <row r="142">
      <c r="A142" t="inlineStr">
        <is>
          <t>No</t>
        </is>
      </c>
      <c r="B142" t="inlineStr">
        <is>
          <t>TT851 .D79 1993</t>
        </is>
      </c>
      <c r="C142" t="inlineStr">
        <is>
          <t>0                      TT 0851000D  79          1993</t>
        </is>
      </c>
      <c r="D142" t="inlineStr">
        <is>
          <t>Fabric painting and dyeing for the theatre / Deborah M. Dryden.</t>
        </is>
      </c>
      <c r="F142" t="inlineStr">
        <is>
          <t>No</t>
        </is>
      </c>
      <c r="G142" t="inlineStr">
        <is>
          <t>1</t>
        </is>
      </c>
      <c r="H142" t="inlineStr">
        <is>
          <t>No</t>
        </is>
      </c>
      <c r="I142" t="inlineStr">
        <is>
          <t>Yes</t>
        </is>
      </c>
      <c r="J142" t="inlineStr">
        <is>
          <t>0</t>
        </is>
      </c>
      <c r="K142" t="inlineStr">
        <is>
          <t>Dryden, Deborah M.</t>
        </is>
      </c>
      <c r="L142" t="inlineStr">
        <is>
          <t>Portsmouth, NH : Heinemann, c1993.</t>
        </is>
      </c>
      <c r="M142" t="inlineStr">
        <is>
          <t>1993</t>
        </is>
      </c>
      <c r="O142" t="inlineStr">
        <is>
          <t>eng</t>
        </is>
      </c>
      <c r="P142" t="inlineStr">
        <is>
          <t>nhu</t>
        </is>
      </c>
      <c r="R142" t="inlineStr">
        <is>
          <t xml:space="preserve">TT </t>
        </is>
      </c>
      <c r="S142" t="n">
        <v>5</v>
      </c>
      <c r="T142" t="n">
        <v>5</v>
      </c>
      <c r="U142" t="inlineStr">
        <is>
          <t>1999-08-04</t>
        </is>
      </c>
      <c r="V142" t="inlineStr">
        <is>
          <t>1999-08-04</t>
        </is>
      </c>
      <c r="W142" t="inlineStr">
        <is>
          <t>1997-06-30</t>
        </is>
      </c>
      <c r="X142" t="inlineStr">
        <is>
          <t>1997-06-30</t>
        </is>
      </c>
      <c r="Y142" t="n">
        <v>308</v>
      </c>
      <c r="Z142" t="n">
        <v>263</v>
      </c>
      <c r="AA142" t="n">
        <v>538</v>
      </c>
      <c r="AB142" t="n">
        <v>3</v>
      </c>
      <c r="AC142" t="n">
        <v>3</v>
      </c>
      <c r="AD142" t="n">
        <v>16</v>
      </c>
      <c r="AE142" t="n">
        <v>26</v>
      </c>
      <c r="AF142" t="n">
        <v>11</v>
      </c>
      <c r="AG142" t="n">
        <v>14</v>
      </c>
      <c r="AH142" t="n">
        <v>1</v>
      </c>
      <c r="AI142" t="n">
        <v>5</v>
      </c>
      <c r="AJ142" t="n">
        <v>7</v>
      </c>
      <c r="AK142" t="n">
        <v>12</v>
      </c>
      <c r="AL142" t="n">
        <v>2</v>
      </c>
      <c r="AM142" t="n">
        <v>2</v>
      </c>
      <c r="AN142" t="n">
        <v>0</v>
      </c>
      <c r="AO142" t="n">
        <v>0</v>
      </c>
      <c r="AP142" t="inlineStr">
        <is>
          <t>No</t>
        </is>
      </c>
      <c r="AQ142" t="inlineStr">
        <is>
          <t>No</t>
        </is>
      </c>
      <c r="AS142">
        <f>HYPERLINK("https://creighton-primo.hosted.exlibrisgroup.com/primo-explore/search?tab=default_tab&amp;search_scope=EVERYTHING&amp;vid=01CRU&amp;lang=en_US&amp;offset=0&amp;query=any,contains,991002222329702656","Catalog Record")</f>
        <v/>
      </c>
      <c r="AT142">
        <f>HYPERLINK("http://www.worldcat.org/oclc/28631803","WorldCat Record")</f>
        <v/>
      </c>
      <c r="AU142" t="inlineStr">
        <is>
          <t>30800228:eng</t>
        </is>
      </c>
      <c r="AV142" t="inlineStr">
        <is>
          <t>28631803</t>
        </is>
      </c>
      <c r="AW142" t="inlineStr">
        <is>
          <t>991002222329702656</t>
        </is>
      </c>
      <c r="AX142" t="inlineStr">
        <is>
          <t>991002222329702656</t>
        </is>
      </c>
      <c r="AY142" t="inlineStr">
        <is>
          <t>2269185460002656</t>
        </is>
      </c>
      <c r="AZ142" t="inlineStr">
        <is>
          <t>BOOK</t>
        </is>
      </c>
      <c r="BB142" t="inlineStr">
        <is>
          <t>9780435086244</t>
        </is>
      </c>
      <c r="BC142" t="inlineStr">
        <is>
          <t>32285002754223</t>
        </is>
      </c>
      <c r="BD142" t="inlineStr">
        <is>
          <t>893335065</t>
        </is>
      </c>
    </row>
    <row r="143">
      <c r="A143" t="inlineStr">
        <is>
          <t>No</t>
        </is>
      </c>
      <c r="B143" t="inlineStr">
        <is>
          <t>TT851 .E45 1994</t>
        </is>
      </c>
      <c r="C143" t="inlineStr">
        <is>
          <t>0                      TT 0851000E  45          1994</t>
        </is>
      </c>
      <c r="D143" t="inlineStr">
        <is>
          <t>Painting fabric / Marion Elliot.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No</t>
        </is>
      </c>
      <c r="J143" t="inlineStr">
        <is>
          <t>0</t>
        </is>
      </c>
      <c r="K143" t="inlineStr">
        <is>
          <t>Elliot, Marion.</t>
        </is>
      </c>
      <c r="L143" t="inlineStr">
        <is>
          <t>New York : H. Holt, 1994, c1993.</t>
        </is>
      </c>
      <c r="M143" t="inlineStr">
        <is>
          <t>1994</t>
        </is>
      </c>
      <c r="N143" t="inlineStr">
        <is>
          <t>1st American/Owl Book ed.</t>
        </is>
      </c>
      <c r="O143" t="inlineStr">
        <is>
          <t>eng</t>
        </is>
      </c>
      <c r="P143" t="inlineStr">
        <is>
          <t>nyu</t>
        </is>
      </c>
      <c r="Q143" t="inlineStr">
        <is>
          <t>Contemporary crafts</t>
        </is>
      </c>
      <c r="R143" t="inlineStr">
        <is>
          <t xml:space="preserve">TT </t>
        </is>
      </c>
      <c r="S143" t="n">
        <v>4</v>
      </c>
      <c r="T143" t="n">
        <v>4</v>
      </c>
      <c r="U143" t="inlineStr">
        <is>
          <t>2002-04-18</t>
        </is>
      </c>
      <c r="V143" t="inlineStr">
        <is>
          <t>2002-04-18</t>
        </is>
      </c>
      <c r="W143" t="inlineStr">
        <is>
          <t>1997-07-01</t>
        </is>
      </c>
      <c r="X143" t="inlineStr">
        <is>
          <t>1997-07-01</t>
        </is>
      </c>
      <c r="Y143" t="n">
        <v>82</v>
      </c>
      <c r="Z143" t="n">
        <v>71</v>
      </c>
      <c r="AA143" t="n">
        <v>78</v>
      </c>
      <c r="AB143" t="n">
        <v>1</v>
      </c>
      <c r="AC143" t="n">
        <v>1</v>
      </c>
      <c r="AD143" t="n">
        <v>0</v>
      </c>
      <c r="AE143" t="n">
        <v>0</v>
      </c>
      <c r="AF143" t="n">
        <v>0</v>
      </c>
      <c r="AG143" t="n">
        <v>0</v>
      </c>
      <c r="AH143" t="n">
        <v>0</v>
      </c>
      <c r="AI143" t="n">
        <v>0</v>
      </c>
      <c r="AJ143" t="n">
        <v>0</v>
      </c>
      <c r="AK143" t="n">
        <v>0</v>
      </c>
      <c r="AL143" t="n">
        <v>0</v>
      </c>
      <c r="AM143" t="n">
        <v>0</v>
      </c>
      <c r="AN143" t="n">
        <v>0</v>
      </c>
      <c r="AO143" t="n">
        <v>0</v>
      </c>
      <c r="AP143" t="inlineStr">
        <is>
          <t>No</t>
        </is>
      </c>
      <c r="AQ143" t="inlineStr">
        <is>
          <t>No</t>
        </is>
      </c>
      <c r="AS143">
        <f>HYPERLINK("https://creighton-primo.hosted.exlibrisgroup.com/primo-explore/search?tab=default_tab&amp;search_scope=EVERYTHING&amp;vid=01CRU&amp;lang=en_US&amp;offset=0&amp;query=any,contains,991002372639702656","Catalog Record")</f>
        <v/>
      </c>
      <c r="AT143">
        <f>HYPERLINK("http://www.worldcat.org/oclc/30867764","WorldCat Record")</f>
        <v/>
      </c>
      <c r="AU143" t="inlineStr">
        <is>
          <t>32162268:eng</t>
        </is>
      </c>
      <c r="AV143" t="inlineStr">
        <is>
          <t>30867764</t>
        </is>
      </c>
      <c r="AW143" t="inlineStr">
        <is>
          <t>991002372639702656</t>
        </is>
      </c>
      <c r="AX143" t="inlineStr">
        <is>
          <t>991002372639702656</t>
        </is>
      </c>
      <c r="AY143" t="inlineStr">
        <is>
          <t>2263302770002656</t>
        </is>
      </c>
      <c r="AZ143" t="inlineStr">
        <is>
          <t>BOOK</t>
        </is>
      </c>
      <c r="BB143" t="inlineStr">
        <is>
          <t>9780805033243</t>
        </is>
      </c>
      <c r="BC143" t="inlineStr">
        <is>
          <t>32285002754629</t>
        </is>
      </c>
      <c r="BD143" t="inlineStr">
        <is>
          <t>893427526</t>
        </is>
      </c>
    </row>
    <row r="144">
      <c r="A144" t="inlineStr">
        <is>
          <t>No</t>
        </is>
      </c>
      <c r="B144" t="inlineStr">
        <is>
          <t>TT851 .K36 1993</t>
        </is>
      </c>
      <c r="C144" t="inlineStr">
        <is>
          <t>0                      TT 0851000K  36          1993</t>
        </is>
      </c>
      <c r="D144" t="inlineStr">
        <is>
          <t>The comp[l]ete book of fabric painting / by Linda S. Kanzinger.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No</t>
        </is>
      </c>
      <c r="J144" t="inlineStr">
        <is>
          <t>0</t>
        </is>
      </c>
      <c r="K144" t="inlineStr">
        <is>
          <t>Kanzinger, Linda S., 1951-</t>
        </is>
      </c>
      <c r="L144" t="inlineStr">
        <is>
          <t>Portland, OR. : Alcott Press, 1993.</t>
        </is>
      </c>
      <c r="M144" t="inlineStr">
        <is>
          <t>1993</t>
        </is>
      </c>
      <c r="N144" t="inlineStr">
        <is>
          <t>Rev. and expanded</t>
        </is>
      </c>
      <c r="O144" t="inlineStr">
        <is>
          <t>eng</t>
        </is>
      </c>
      <c r="P144" t="inlineStr">
        <is>
          <t>oru</t>
        </is>
      </c>
      <c r="R144" t="inlineStr">
        <is>
          <t xml:space="preserve">TT </t>
        </is>
      </c>
      <c r="S144" t="n">
        <v>5</v>
      </c>
      <c r="T144" t="n">
        <v>5</v>
      </c>
      <c r="U144" t="inlineStr">
        <is>
          <t>2003-02-10</t>
        </is>
      </c>
      <c r="V144" t="inlineStr">
        <is>
          <t>2003-02-10</t>
        </is>
      </c>
      <c r="W144" t="inlineStr">
        <is>
          <t>1999-04-13</t>
        </is>
      </c>
      <c r="X144" t="inlineStr">
        <is>
          <t>1999-04-13</t>
        </is>
      </c>
      <c r="Y144" t="n">
        <v>43</v>
      </c>
      <c r="Z144" t="n">
        <v>41</v>
      </c>
      <c r="AA144" t="n">
        <v>92</v>
      </c>
      <c r="AB144" t="n">
        <v>1</v>
      </c>
      <c r="AC144" t="n">
        <v>1</v>
      </c>
      <c r="AD144" t="n">
        <v>0</v>
      </c>
      <c r="AE144" t="n">
        <v>1</v>
      </c>
      <c r="AF144" t="n">
        <v>0</v>
      </c>
      <c r="AG144" t="n">
        <v>0</v>
      </c>
      <c r="AH144" t="n">
        <v>0</v>
      </c>
      <c r="AI144" t="n">
        <v>0</v>
      </c>
      <c r="AJ144" t="n">
        <v>0</v>
      </c>
      <c r="AK144" t="n">
        <v>1</v>
      </c>
      <c r="AL144" t="n">
        <v>0</v>
      </c>
      <c r="AM144" t="n">
        <v>0</v>
      </c>
      <c r="AN144" t="n">
        <v>0</v>
      </c>
      <c r="AO144" t="n">
        <v>0</v>
      </c>
      <c r="AP144" t="inlineStr">
        <is>
          <t>No</t>
        </is>
      </c>
      <c r="AQ144" t="inlineStr">
        <is>
          <t>No</t>
        </is>
      </c>
      <c r="AS144">
        <f>HYPERLINK("https://creighton-primo.hosted.exlibrisgroup.com/primo-explore/search?tab=default_tab&amp;search_scope=EVERYTHING&amp;vid=01CRU&amp;lang=en_US&amp;offset=0&amp;query=any,contains,991002241509702656","Catalog Record")</f>
        <v/>
      </c>
      <c r="AT144">
        <f>HYPERLINK("http://www.worldcat.org/oclc/28930497","WorldCat Record")</f>
        <v/>
      </c>
      <c r="AU144" t="inlineStr">
        <is>
          <t>5425033:eng</t>
        </is>
      </c>
      <c r="AV144" t="inlineStr">
        <is>
          <t>28930497</t>
        </is>
      </c>
      <c r="AW144" t="inlineStr">
        <is>
          <t>991002241509702656</t>
        </is>
      </c>
      <c r="AX144" t="inlineStr">
        <is>
          <t>991002241509702656</t>
        </is>
      </c>
      <c r="AY144" t="inlineStr">
        <is>
          <t>2267895640002656</t>
        </is>
      </c>
      <c r="AZ144" t="inlineStr">
        <is>
          <t>BOOK</t>
        </is>
      </c>
      <c r="BB144" t="inlineStr">
        <is>
          <t>9780961618018</t>
        </is>
      </c>
      <c r="BC144" t="inlineStr">
        <is>
          <t>32285003551719</t>
        </is>
      </c>
      <c r="BD144" t="inlineStr">
        <is>
          <t>893322708</t>
        </is>
      </c>
    </row>
    <row r="145">
      <c r="A145" t="inlineStr">
        <is>
          <t>No</t>
        </is>
      </c>
      <c r="B145" t="inlineStr">
        <is>
          <t>TT870 .H56 1971</t>
        </is>
      </c>
      <c r="C145" t="inlineStr">
        <is>
          <t>0                      TT 0870000H  56          1971</t>
        </is>
      </c>
      <c r="D145" t="inlineStr">
        <is>
          <t>Decorative papers &amp; fabrics / Annette Hollander.</t>
        </is>
      </c>
      <c r="F145" t="inlineStr">
        <is>
          <t>No</t>
        </is>
      </c>
      <c r="G145" t="inlineStr">
        <is>
          <t>1</t>
        </is>
      </c>
      <c r="H145" t="inlineStr">
        <is>
          <t>No</t>
        </is>
      </c>
      <c r="I145" t="inlineStr">
        <is>
          <t>No</t>
        </is>
      </c>
      <c r="J145" t="inlineStr">
        <is>
          <t>0</t>
        </is>
      </c>
      <c r="K145" t="inlineStr">
        <is>
          <t>Hollander, Annette.</t>
        </is>
      </c>
      <c r="L145" t="inlineStr">
        <is>
          <t>New York : Van Nostrand Reinhold Co., [1971]</t>
        </is>
      </c>
      <c r="M145" t="inlineStr">
        <is>
          <t>1971</t>
        </is>
      </c>
      <c r="O145" t="inlineStr">
        <is>
          <t>eng</t>
        </is>
      </c>
      <c r="P145" t="inlineStr">
        <is>
          <t>nyu</t>
        </is>
      </c>
      <c r="R145" t="inlineStr">
        <is>
          <t xml:space="preserve">TT </t>
        </is>
      </c>
      <c r="S145" t="n">
        <v>1</v>
      </c>
      <c r="T145" t="n">
        <v>1</v>
      </c>
      <c r="U145" t="inlineStr">
        <is>
          <t>1995-03-25</t>
        </is>
      </c>
      <c r="V145" t="inlineStr">
        <is>
          <t>1995-03-25</t>
        </is>
      </c>
      <c r="W145" t="inlineStr">
        <is>
          <t>1993-08-03</t>
        </is>
      </c>
      <c r="X145" t="inlineStr">
        <is>
          <t>1993-08-03</t>
        </is>
      </c>
      <c r="Y145" t="n">
        <v>291</v>
      </c>
      <c r="Z145" t="n">
        <v>237</v>
      </c>
      <c r="AA145" t="n">
        <v>242</v>
      </c>
      <c r="AB145" t="n">
        <v>3</v>
      </c>
      <c r="AC145" t="n">
        <v>3</v>
      </c>
      <c r="AD145" t="n">
        <v>4</v>
      </c>
      <c r="AE145" t="n">
        <v>4</v>
      </c>
      <c r="AF145" t="n">
        <v>1</v>
      </c>
      <c r="AG145" t="n">
        <v>1</v>
      </c>
      <c r="AH145" t="n">
        <v>1</v>
      </c>
      <c r="AI145" t="n">
        <v>1</v>
      </c>
      <c r="AJ145" t="n">
        <v>0</v>
      </c>
      <c r="AK145" t="n">
        <v>0</v>
      </c>
      <c r="AL145" t="n">
        <v>2</v>
      </c>
      <c r="AM145" t="n">
        <v>2</v>
      </c>
      <c r="AN145" t="n">
        <v>0</v>
      </c>
      <c r="AO145" t="n">
        <v>0</v>
      </c>
      <c r="AP145" t="inlineStr">
        <is>
          <t>No</t>
        </is>
      </c>
      <c r="AQ145" t="inlineStr">
        <is>
          <t>Yes</t>
        </is>
      </c>
      <c r="AR145">
        <f>HYPERLINK("http://catalog.hathitrust.org/Record/001046143","HathiTrust Record")</f>
        <v/>
      </c>
      <c r="AS145">
        <f>HYPERLINK("https://creighton-primo.hosted.exlibrisgroup.com/primo-explore/search?tab=default_tab&amp;search_scope=EVERYTHING&amp;vid=01CRU&amp;lang=en_US&amp;offset=0&amp;query=any,contains,991001287429702656","Catalog Record")</f>
        <v/>
      </c>
      <c r="AT145">
        <f>HYPERLINK("http://www.worldcat.org/oclc/216887","WorldCat Record")</f>
        <v/>
      </c>
      <c r="AU145" t="inlineStr">
        <is>
          <t>1308944:eng</t>
        </is>
      </c>
      <c r="AV145" t="inlineStr">
        <is>
          <t>216887</t>
        </is>
      </c>
      <c r="AW145" t="inlineStr">
        <is>
          <t>991001287429702656</t>
        </is>
      </c>
      <c r="AX145" t="inlineStr">
        <is>
          <t>991001287429702656</t>
        </is>
      </c>
      <c r="AY145" t="inlineStr">
        <is>
          <t>2256826600002656</t>
        </is>
      </c>
      <c r="AZ145" t="inlineStr">
        <is>
          <t>BOOK</t>
        </is>
      </c>
      <c r="BC145" t="inlineStr">
        <is>
          <t>32285001748945</t>
        </is>
      </c>
      <c r="BD145" t="inlineStr">
        <is>
          <t>893426501</t>
        </is>
      </c>
    </row>
    <row r="146">
      <c r="A146" t="inlineStr">
        <is>
          <t>No</t>
        </is>
      </c>
      <c r="B146" t="inlineStr">
        <is>
          <t>TT870 .P3</t>
        </is>
      </c>
      <c r="C146" t="inlineStr">
        <is>
          <t>0                      TT 0870000P  3</t>
        </is>
      </c>
      <c r="D146" t="inlineStr">
        <is>
          <t>Practical papercraft : over 400 useful and decorative projects for fun and profit.</t>
        </is>
      </c>
      <c r="F146" t="inlineStr">
        <is>
          <t>No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0</t>
        </is>
      </c>
      <c r="K146" t="inlineStr">
        <is>
          <t>Palestrant, Simon S., 1908-</t>
        </is>
      </c>
      <c r="L146" t="inlineStr">
        <is>
          <t>New York : Homecrafts, [1950]</t>
        </is>
      </c>
      <c r="M146" t="inlineStr">
        <is>
          <t>1950</t>
        </is>
      </c>
      <c r="O146" t="inlineStr">
        <is>
          <t>eng</t>
        </is>
      </c>
      <c r="P146" t="inlineStr">
        <is>
          <t>nyu</t>
        </is>
      </c>
      <c r="R146" t="inlineStr">
        <is>
          <t xml:space="preserve">TT </t>
        </is>
      </c>
      <c r="S146" t="n">
        <v>10</v>
      </c>
      <c r="T146" t="n">
        <v>10</v>
      </c>
      <c r="U146" t="inlineStr">
        <is>
          <t>1999-09-30</t>
        </is>
      </c>
      <c r="V146" t="inlineStr">
        <is>
          <t>1999-09-30</t>
        </is>
      </c>
      <c r="W146" t="inlineStr">
        <is>
          <t>1993-07-01</t>
        </is>
      </c>
      <c r="X146" t="inlineStr">
        <is>
          <t>1993-07-01</t>
        </is>
      </c>
      <c r="Y146" t="n">
        <v>110</v>
      </c>
      <c r="Z146" t="n">
        <v>100</v>
      </c>
      <c r="AA146" t="n">
        <v>101</v>
      </c>
      <c r="AB146" t="n">
        <v>2</v>
      </c>
      <c r="AC146" t="n">
        <v>2</v>
      </c>
      <c r="AD146" t="n">
        <v>3</v>
      </c>
      <c r="AE146" t="n">
        <v>3</v>
      </c>
      <c r="AF146" t="n">
        <v>2</v>
      </c>
      <c r="AG146" t="n">
        <v>2</v>
      </c>
      <c r="AH146" t="n">
        <v>0</v>
      </c>
      <c r="AI146" t="n">
        <v>0</v>
      </c>
      <c r="AJ146" t="n">
        <v>0</v>
      </c>
      <c r="AK146" t="n">
        <v>0</v>
      </c>
      <c r="AL146" t="n">
        <v>1</v>
      </c>
      <c r="AM146" t="n">
        <v>1</v>
      </c>
      <c r="AN146" t="n">
        <v>0</v>
      </c>
      <c r="AO146" t="n">
        <v>0</v>
      </c>
      <c r="AP146" t="inlineStr">
        <is>
          <t>No</t>
        </is>
      </c>
      <c r="AQ146" t="inlineStr">
        <is>
          <t>Yes</t>
        </is>
      </c>
      <c r="AR146">
        <f>HYPERLINK("http://catalog.hathitrust.org/Record/006913072","HathiTrust Record")</f>
        <v/>
      </c>
      <c r="AS146">
        <f>HYPERLINK("https://creighton-primo.hosted.exlibrisgroup.com/primo-explore/search?tab=default_tab&amp;search_scope=EVERYTHING&amp;vid=01CRU&amp;lang=en_US&amp;offset=0&amp;query=any,contains,991003854239702656","Catalog Record")</f>
        <v/>
      </c>
      <c r="AT146">
        <f>HYPERLINK("http://www.worldcat.org/oclc/1650977","WorldCat Record")</f>
        <v/>
      </c>
      <c r="AU146" t="inlineStr">
        <is>
          <t>433586509:eng</t>
        </is>
      </c>
      <c r="AV146" t="inlineStr">
        <is>
          <t>1650977</t>
        </is>
      </c>
      <c r="AW146" t="inlineStr">
        <is>
          <t>991003854239702656</t>
        </is>
      </c>
      <c r="AX146" t="inlineStr">
        <is>
          <t>991003854239702656</t>
        </is>
      </c>
      <c r="AY146" t="inlineStr">
        <is>
          <t>2271999980002656</t>
        </is>
      </c>
      <c r="AZ146" t="inlineStr">
        <is>
          <t>BOOK</t>
        </is>
      </c>
      <c r="BC146" t="inlineStr">
        <is>
          <t>32285001699254</t>
        </is>
      </c>
      <c r="BD146" t="inlineStr">
        <is>
          <t>893337048</t>
        </is>
      </c>
    </row>
    <row r="147">
      <c r="A147" t="inlineStr">
        <is>
          <t>No</t>
        </is>
      </c>
      <c r="B147" t="inlineStr">
        <is>
          <t>TT898 .J36 1990</t>
        </is>
      </c>
      <c r="C147" t="inlineStr">
        <is>
          <t>0                      TT 0898000J  36          1990</t>
        </is>
      </c>
      <c r="D147" t="inlineStr">
        <is>
          <t>The prop builder's mask-making handbook / Thurston James.</t>
        </is>
      </c>
      <c r="F147" t="inlineStr">
        <is>
          <t>No</t>
        </is>
      </c>
      <c r="G147" t="inlineStr">
        <is>
          <t>1</t>
        </is>
      </c>
      <c r="H147" t="inlineStr">
        <is>
          <t>Yes</t>
        </is>
      </c>
      <c r="I147" t="inlineStr">
        <is>
          <t>No</t>
        </is>
      </c>
      <c r="J147" t="inlineStr">
        <is>
          <t>0</t>
        </is>
      </c>
      <c r="K147" t="inlineStr">
        <is>
          <t>James, Thurston, 1933-</t>
        </is>
      </c>
      <c r="L147" t="inlineStr">
        <is>
          <t>Cincinnati, Ohio : Betterway Books, c1990.</t>
        </is>
      </c>
      <c r="M147" t="inlineStr">
        <is>
          <t>1990</t>
        </is>
      </c>
      <c r="O147" t="inlineStr">
        <is>
          <t>eng</t>
        </is>
      </c>
      <c r="P147" t="inlineStr">
        <is>
          <t>vau</t>
        </is>
      </c>
      <c r="R147" t="inlineStr">
        <is>
          <t xml:space="preserve">TT </t>
        </is>
      </c>
      <c r="S147" t="n">
        <v>4</v>
      </c>
      <c r="T147" t="n">
        <v>8</v>
      </c>
      <c r="U147" t="inlineStr">
        <is>
          <t>2003-10-29</t>
        </is>
      </c>
      <c r="V147" t="inlineStr">
        <is>
          <t>2010-03-31</t>
        </is>
      </c>
      <c r="W147" t="inlineStr">
        <is>
          <t>1997-03-06</t>
        </is>
      </c>
      <c r="X147" t="inlineStr">
        <is>
          <t>1997-03-06</t>
        </is>
      </c>
      <c r="Y147" t="n">
        <v>710</v>
      </c>
      <c r="Z147" t="n">
        <v>605</v>
      </c>
      <c r="AA147" t="n">
        <v>611</v>
      </c>
      <c r="AB147" t="n">
        <v>8</v>
      </c>
      <c r="AC147" t="n">
        <v>8</v>
      </c>
      <c r="AD147" t="n">
        <v>21</v>
      </c>
      <c r="AE147" t="n">
        <v>21</v>
      </c>
      <c r="AF147" t="n">
        <v>9</v>
      </c>
      <c r="AG147" t="n">
        <v>9</v>
      </c>
      <c r="AH147" t="n">
        <v>4</v>
      </c>
      <c r="AI147" t="n">
        <v>4</v>
      </c>
      <c r="AJ147" t="n">
        <v>6</v>
      </c>
      <c r="AK147" t="n">
        <v>6</v>
      </c>
      <c r="AL147" t="n">
        <v>6</v>
      </c>
      <c r="AM147" t="n">
        <v>6</v>
      </c>
      <c r="AN147" t="n">
        <v>0</v>
      </c>
      <c r="AO147" t="n">
        <v>0</v>
      </c>
      <c r="AP147" t="inlineStr">
        <is>
          <t>No</t>
        </is>
      </c>
      <c r="AQ147" t="inlineStr">
        <is>
          <t>Yes</t>
        </is>
      </c>
      <c r="AR147">
        <f>HYPERLINK("http://catalog.hathitrust.org/Record/004523035","HathiTrust Record")</f>
        <v/>
      </c>
      <c r="AS147">
        <f>HYPERLINK("https://creighton-primo.hosted.exlibrisgroup.com/primo-explore/search?tab=default_tab&amp;search_scope=EVERYTHING&amp;vid=01CRU&amp;lang=en_US&amp;offset=0&amp;query=any,contains,991001721279702656","Catalog Record")</f>
        <v/>
      </c>
      <c r="AT147">
        <f>HYPERLINK("http://www.worldcat.org/oclc/21764264","WorldCat Record")</f>
        <v/>
      </c>
      <c r="AU147" t="inlineStr">
        <is>
          <t>936684:eng</t>
        </is>
      </c>
      <c r="AV147" t="inlineStr">
        <is>
          <t>21764264</t>
        </is>
      </c>
      <c r="AW147" t="inlineStr">
        <is>
          <t>991001721279702656</t>
        </is>
      </c>
      <c r="AX147" t="inlineStr">
        <is>
          <t>991001721279702656</t>
        </is>
      </c>
      <c r="AY147" t="inlineStr">
        <is>
          <t>2263338150002656</t>
        </is>
      </c>
      <c r="AZ147" t="inlineStr">
        <is>
          <t>BOOK</t>
        </is>
      </c>
      <c r="BB147" t="inlineStr">
        <is>
          <t>9781558701670</t>
        </is>
      </c>
      <c r="BC147" t="inlineStr">
        <is>
          <t>32285002440740</t>
        </is>
      </c>
      <c r="BD147" t="inlineStr">
        <is>
          <t>893696979</t>
        </is>
      </c>
    </row>
    <row r="148">
      <c r="A148" t="inlineStr">
        <is>
          <t>No</t>
        </is>
      </c>
      <c r="B148" t="inlineStr">
        <is>
          <t>TT898 .J36 1990</t>
        </is>
      </c>
      <c r="C148" t="inlineStr">
        <is>
          <t>0                      TT 0898000J  36          1990</t>
        </is>
      </c>
      <c r="D148" t="inlineStr">
        <is>
          <t>The prop builder's mask-making handbook / Thurston James.</t>
        </is>
      </c>
      <c r="F148" t="inlineStr">
        <is>
          <t>No</t>
        </is>
      </c>
      <c r="G148" t="inlineStr">
        <is>
          <t>1</t>
        </is>
      </c>
      <c r="H148" t="inlineStr">
        <is>
          <t>Yes</t>
        </is>
      </c>
      <c r="I148" t="inlineStr">
        <is>
          <t>No</t>
        </is>
      </c>
      <c r="J148" t="inlineStr">
        <is>
          <t>0</t>
        </is>
      </c>
      <c r="K148" t="inlineStr">
        <is>
          <t>James, Thurston, 1933-</t>
        </is>
      </c>
      <c r="L148" t="inlineStr">
        <is>
          <t>Cincinnati, Ohio : Betterway Books, c1990.</t>
        </is>
      </c>
      <c r="M148" t="inlineStr">
        <is>
          <t>1990</t>
        </is>
      </c>
      <c r="O148" t="inlineStr">
        <is>
          <t>eng</t>
        </is>
      </c>
      <c r="P148" t="inlineStr">
        <is>
          <t>vau</t>
        </is>
      </c>
      <c r="R148" t="inlineStr">
        <is>
          <t xml:space="preserve">TT </t>
        </is>
      </c>
      <c r="S148" t="n">
        <v>4</v>
      </c>
      <c r="T148" t="n">
        <v>8</v>
      </c>
      <c r="U148" t="inlineStr">
        <is>
          <t>2010-03-31</t>
        </is>
      </c>
      <c r="V148" t="inlineStr">
        <is>
          <t>2010-03-31</t>
        </is>
      </c>
      <c r="W148" t="inlineStr">
        <is>
          <t>1997-03-06</t>
        </is>
      </c>
      <c r="X148" t="inlineStr">
        <is>
          <t>1997-03-06</t>
        </is>
      </c>
      <c r="Y148" t="n">
        <v>710</v>
      </c>
      <c r="Z148" t="n">
        <v>605</v>
      </c>
      <c r="AA148" t="n">
        <v>611</v>
      </c>
      <c r="AB148" t="n">
        <v>8</v>
      </c>
      <c r="AC148" t="n">
        <v>8</v>
      </c>
      <c r="AD148" t="n">
        <v>21</v>
      </c>
      <c r="AE148" t="n">
        <v>21</v>
      </c>
      <c r="AF148" t="n">
        <v>9</v>
      </c>
      <c r="AG148" t="n">
        <v>9</v>
      </c>
      <c r="AH148" t="n">
        <v>4</v>
      </c>
      <c r="AI148" t="n">
        <v>4</v>
      </c>
      <c r="AJ148" t="n">
        <v>6</v>
      </c>
      <c r="AK148" t="n">
        <v>6</v>
      </c>
      <c r="AL148" t="n">
        <v>6</v>
      </c>
      <c r="AM148" t="n">
        <v>6</v>
      </c>
      <c r="AN148" t="n">
        <v>0</v>
      </c>
      <c r="AO148" t="n">
        <v>0</v>
      </c>
      <c r="AP148" t="inlineStr">
        <is>
          <t>No</t>
        </is>
      </c>
      <c r="AQ148" t="inlineStr">
        <is>
          <t>Yes</t>
        </is>
      </c>
      <c r="AR148">
        <f>HYPERLINK("http://catalog.hathitrust.org/Record/004523035","HathiTrust Record")</f>
        <v/>
      </c>
      <c r="AS148">
        <f>HYPERLINK("https://creighton-primo.hosted.exlibrisgroup.com/primo-explore/search?tab=default_tab&amp;search_scope=EVERYTHING&amp;vid=01CRU&amp;lang=en_US&amp;offset=0&amp;query=any,contains,991001721279702656","Catalog Record")</f>
        <v/>
      </c>
      <c r="AT148">
        <f>HYPERLINK("http://www.worldcat.org/oclc/21764264","WorldCat Record")</f>
        <v/>
      </c>
      <c r="AU148" t="inlineStr">
        <is>
          <t>936684:eng</t>
        </is>
      </c>
      <c r="AV148" t="inlineStr">
        <is>
          <t>21764264</t>
        </is>
      </c>
      <c r="AW148" t="inlineStr">
        <is>
          <t>991001721279702656</t>
        </is>
      </c>
      <c r="AX148" t="inlineStr">
        <is>
          <t>991001721279702656</t>
        </is>
      </c>
      <c r="AY148" t="inlineStr">
        <is>
          <t>2263338150002656</t>
        </is>
      </c>
      <c r="AZ148" t="inlineStr">
        <is>
          <t>BOOK</t>
        </is>
      </c>
      <c r="BB148" t="inlineStr">
        <is>
          <t>9781558701670</t>
        </is>
      </c>
      <c r="BC148" t="inlineStr">
        <is>
          <t>32285002440757</t>
        </is>
      </c>
      <c r="BD148" t="inlineStr">
        <is>
          <t>893715658</t>
        </is>
      </c>
    </row>
    <row r="149">
      <c r="A149" t="inlineStr">
        <is>
          <t>No</t>
        </is>
      </c>
      <c r="B149" t="inlineStr">
        <is>
          <t>TT900.H34 R6 1985</t>
        </is>
      </c>
      <c r="C149" t="inlineStr">
        <is>
          <t>0                      TT 0900000H  34                 R  6           1985</t>
        </is>
      </c>
      <c r="D149" t="inlineStr">
        <is>
          <t>The Hanukkah book / Mae Shafter Rockland.</t>
        </is>
      </c>
      <c r="F149" t="inlineStr">
        <is>
          <t>No</t>
        </is>
      </c>
      <c r="G149" t="inlineStr">
        <is>
          <t>1</t>
        </is>
      </c>
      <c r="H149" t="inlineStr">
        <is>
          <t>No</t>
        </is>
      </c>
      <c r="I149" t="inlineStr">
        <is>
          <t>No</t>
        </is>
      </c>
      <c r="J149" t="inlineStr">
        <is>
          <t>0</t>
        </is>
      </c>
      <c r="K149" t="inlineStr">
        <is>
          <t>Tupa, Mae Rockland.</t>
        </is>
      </c>
      <c r="L149" t="inlineStr">
        <is>
          <t>New York : Schocken Books, c1985.</t>
        </is>
      </c>
      <c r="M149" t="inlineStr">
        <is>
          <t>1985</t>
        </is>
      </c>
      <c r="O149" t="inlineStr">
        <is>
          <t>eng</t>
        </is>
      </c>
      <c r="P149" t="inlineStr">
        <is>
          <t>nyu</t>
        </is>
      </c>
      <c r="R149" t="inlineStr">
        <is>
          <t xml:space="preserve">TT </t>
        </is>
      </c>
      <c r="S149" t="n">
        <v>9</v>
      </c>
      <c r="T149" t="n">
        <v>9</v>
      </c>
      <c r="U149" t="inlineStr">
        <is>
          <t>2008-10-09</t>
        </is>
      </c>
      <c r="V149" t="inlineStr">
        <is>
          <t>2008-10-09</t>
        </is>
      </c>
      <c r="W149" t="inlineStr">
        <is>
          <t>1992-11-17</t>
        </is>
      </c>
      <c r="X149" t="inlineStr">
        <is>
          <t>1992-11-17</t>
        </is>
      </c>
      <c r="Y149" t="n">
        <v>68</v>
      </c>
      <c r="Z149" t="n">
        <v>66</v>
      </c>
      <c r="AA149" t="n">
        <v>592</v>
      </c>
      <c r="AB149" t="n">
        <v>2</v>
      </c>
      <c r="AC149" t="n">
        <v>2</v>
      </c>
      <c r="AD149" t="n">
        <v>2</v>
      </c>
      <c r="AE149" t="n">
        <v>6</v>
      </c>
      <c r="AF149" t="n">
        <v>0</v>
      </c>
      <c r="AG149" t="n">
        <v>2</v>
      </c>
      <c r="AH149" t="n">
        <v>0</v>
      </c>
      <c r="AI149" t="n">
        <v>1</v>
      </c>
      <c r="AJ149" t="n">
        <v>1</v>
      </c>
      <c r="AK149" t="n">
        <v>4</v>
      </c>
      <c r="AL149" t="n">
        <v>1</v>
      </c>
      <c r="AM149" t="n">
        <v>1</v>
      </c>
      <c r="AN149" t="n">
        <v>0</v>
      </c>
      <c r="AO149" t="n">
        <v>0</v>
      </c>
      <c r="AP149" t="inlineStr">
        <is>
          <t>No</t>
        </is>
      </c>
      <c r="AQ149" t="inlineStr">
        <is>
          <t>No</t>
        </is>
      </c>
      <c r="AS149">
        <f>HYPERLINK("https://creighton-primo.hosted.exlibrisgroup.com/primo-explore/search?tab=default_tab&amp;search_scope=EVERYTHING&amp;vid=01CRU&amp;lang=en_US&amp;offset=0&amp;query=any,contains,991000743949702656","Catalog Record")</f>
        <v/>
      </c>
      <c r="AT149">
        <f>HYPERLINK("http://www.worldcat.org/oclc/12822179","WorldCat Record")</f>
        <v/>
      </c>
      <c r="AU149" t="inlineStr">
        <is>
          <t>2405476:eng</t>
        </is>
      </c>
      <c r="AV149" t="inlineStr">
        <is>
          <t>12822179</t>
        </is>
      </c>
      <c r="AW149" t="inlineStr">
        <is>
          <t>991000743949702656</t>
        </is>
      </c>
      <c r="AX149" t="inlineStr">
        <is>
          <t>991000743949702656</t>
        </is>
      </c>
      <c r="AY149" t="inlineStr">
        <is>
          <t>2271801890002656</t>
        </is>
      </c>
      <c r="AZ149" t="inlineStr">
        <is>
          <t>BOOK</t>
        </is>
      </c>
      <c r="BB149" t="inlineStr">
        <is>
          <t>9780805207927</t>
        </is>
      </c>
      <c r="BC149" t="inlineStr">
        <is>
          <t>32285005174171</t>
        </is>
      </c>
      <c r="BD149" t="inlineStr">
        <is>
          <t>893589702</t>
        </is>
      </c>
    </row>
    <row r="150">
      <c r="A150" t="inlineStr">
        <is>
          <t>No</t>
        </is>
      </c>
      <c r="B150" t="inlineStr">
        <is>
          <t>TT919.5 .F68 1992</t>
        </is>
      </c>
      <c r="C150" t="inlineStr">
        <is>
          <t>0                      TT 0919500F  68          1992</t>
        </is>
      </c>
      <c r="D150" t="inlineStr">
        <is>
          <t>Illustrated dictionary of practical pottery / Robert Fournier.</t>
        </is>
      </c>
      <c r="F150" t="inlineStr">
        <is>
          <t>No</t>
        </is>
      </c>
      <c r="G150" t="inlineStr">
        <is>
          <t>1</t>
        </is>
      </c>
      <c r="H150" t="inlineStr">
        <is>
          <t>No</t>
        </is>
      </c>
      <c r="I150" t="inlineStr">
        <is>
          <t>No</t>
        </is>
      </c>
      <c r="J150" t="inlineStr">
        <is>
          <t>0</t>
        </is>
      </c>
      <c r="K150" t="inlineStr">
        <is>
          <t>Fournier, Robert, 1915-2008.</t>
        </is>
      </c>
      <c r="L150" t="inlineStr">
        <is>
          <t>Radnor, Pa. : Chilton Book Co., 1992.</t>
        </is>
      </c>
      <c r="M150" t="inlineStr">
        <is>
          <t>1992</t>
        </is>
      </c>
      <c r="N150" t="inlineStr">
        <is>
          <t>3rd ed.</t>
        </is>
      </c>
      <c r="O150" t="inlineStr">
        <is>
          <t>eng</t>
        </is>
      </c>
      <c r="P150" t="inlineStr">
        <is>
          <t>pau</t>
        </is>
      </c>
      <c r="R150" t="inlineStr">
        <is>
          <t xml:space="preserve">TT </t>
        </is>
      </c>
      <c r="S150" t="n">
        <v>3</v>
      </c>
      <c r="T150" t="n">
        <v>3</v>
      </c>
      <c r="U150" t="inlineStr">
        <is>
          <t>1997-11-25</t>
        </is>
      </c>
      <c r="V150" t="inlineStr">
        <is>
          <t>1997-11-25</t>
        </is>
      </c>
      <c r="W150" t="inlineStr">
        <is>
          <t>1993-12-06</t>
        </is>
      </c>
      <c r="X150" t="inlineStr">
        <is>
          <t>1993-12-06</t>
        </is>
      </c>
      <c r="Y150" t="n">
        <v>190</v>
      </c>
      <c r="Z150" t="n">
        <v>182</v>
      </c>
      <c r="AA150" t="n">
        <v>1021</v>
      </c>
      <c r="AB150" t="n">
        <v>3</v>
      </c>
      <c r="AC150" t="n">
        <v>11</v>
      </c>
      <c r="AD150" t="n">
        <v>2</v>
      </c>
      <c r="AE150" t="n">
        <v>22</v>
      </c>
      <c r="AF150" t="n">
        <v>0</v>
      </c>
      <c r="AG150" t="n">
        <v>10</v>
      </c>
      <c r="AH150" t="n">
        <v>1</v>
      </c>
      <c r="AI150" t="n">
        <v>2</v>
      </c>
      <c r="AJ150" t="n">
        <v>0</v>
      </c>
      <c r="AK150" t="n">
        <v>6</v>
      </c>
      <c r="AL150" t="n">
        <v>1</v>
      </c>
      <c r="AM150" t="n">
        <v>8</v>
      </c>
      <c r="AN150" t="n">
        <v>0</v>
      </c>
      <c r="AO150" t="n">
        <v>0</v>
      </c>
      <c r="AP150" t="inlineStr">
        <is>
          <t>No</t>
        </is>
      </c>
      <c r="AQ150" t="inlineStr">
        <is>
          <t>Yes</t>
        </is>
      </c>
      <c r="AR150">
        <f>HYPERLINK("http://catalog.hathitrust.org/Record/002613545","HathiTrust Record")</f>
        <v/>
      </c>
      <c r="AS150">
        <f>HYPERLINK("https://creighton-primo.hosted.exlibrisgroup.com/primo-explore/search?tab=default_tab&amp;search_scope=EVERYTHING&amp;vid=01CRU&amp;lang=en_US&amp;offset=0&amp;query=any,contains,991001941999702656","Catalog Record")</f>
        <v/>
      </c>
      <c r="AT150">
        <f>HYPERLINK("http://www.worldcat.org/oclc/24541329","WorldCat Record")</f>
        <v/>
      </c>
      <c r="AU150" t="inlineStr">
        <is>
          <t>131349958:eng</t>
        </is>
      </c>
      <c r="AV150" t="inlineStr">
        <is>
          <t>24541329</t>
        </is>
      </c>
      <c r="AW150" t="inlineStr">
        <is>
          <t>991001941999702656</t>
        </is>
      </c>
      <c r="AX150" t="inlineStr">
        <is>
          <t>991001941999702656</t>
        </is>
      </c>
      <c r="AY150" t="inlineStr">
        <is>
          <t>2263618980002656</t>
        </is>
      </c>
      <c r="AZ150" t="inlineStr">
        <is>
          <t>BOOK</t>
        </is>
      </c>
      <c r="BB150" t="inlineStr">
        <is>
          <t>9780801982484</t>
        </is>
      </c>
      <c r="BC150" t="inlineStr">
        <is>
          <t>32285001814309</t>
        </is>
      </c>
      <c r="BD150" t="inlineStr">
        <is>
          <t>893408502</t>
        </is>
      </c>
    </row>
    <row r="151">
      <c r="A151" t="inlineStr">
        <is>
          <t>No</t>
        </is>
      </c>
      <c r="B151" t="inlineStr">
        <is>
          <t>TT920 .C68</t>
        </is>
      </c>
      <c r="C151" t="inlineStr">
        <is>
          <t>0                      TT 0920000C  68</t>
        </is>
      </c>
      <c r="D151" t="inlineStr">
        <is>
          <t>Pottery workshop : a study in the making of pottery from idea to finished form / Charles Counts; photos. by Bill Haddox.</t>
        </is>
      </c>
      <c r="F151" t="inlineStr">
        <is>
          <t>No</t>
        </is>
      </c>
      <c r="G151" t="inlineStr">
        <is>
          <t>1</t>
        </is>
      </c>
      <c r="H151" t="inlineStr">
        <is>
          <t>No</t>
        </is>
      </c>
      <c r="I151" t="inlineStr">
        <is>
          <t>No</t>
        </is>
      </c>
      <c r="J151" t="inlineStr">
        <is>
          <t>0</t>
        </is>
      </c>
      <c r="K151" t="inlineStr">
        <is>
          <t>Counts, Charles.</t>
        </is>
      </c>
      <c r="L151" t="inlineStr">
        <is>
          <t>New York : Macmillan, 1976, c1973, 1979 printing.</t>
        </is>
      </c>
      <c r="M151" t="inlineStr">
        <is>
          <t>1973</t>
        </is>
      </c>
      <c r="O151" t="inlineStr">
        <is>
          <t>eng</t>
        </is>
      </c>
      <c r="P151" t="inlineStr">
        <is>
          <t>nyu</t>
        </is>
      </c>
      <c r="R151" t="inlineStr">
        <is>
          <t xml:space="preserve">TT </t>
        </is>
      </c>
      <c r="S151" t="n">
        <v>11</v>
      </c>
      <c r="T151" t="n">
        <v>11</v>
      </c>
      <c r="U151" t="inlineStr">
        <is>
          <t>2003-10-29</t>
        </is>
      </c>
      <c r="V151" t="inlineStr">
        <is>
          <t>2003-10-29</t>
        </is>
      </c>
      <c r="W151" t="inlineStr">
        <is>
          <t>1993-08-03</t>
        </is>
      </c>
      <c r="X151" t="inlineStr">
        <is>
          <t>1993-08-03</t>
        </is>
      </c>
      <c r="Y151" t="n">
        <v>632</v>
      </c>
      <c r="Z151" t="n">
        <v>588</v>
      </c>
      <c r="AA151" t="n">
        <v>638</v>
      </c>
      <c r="AB151" t="n">
        <v>2</v>
      </c>
      <c r="AC151" t="n">
        <v>2</v>
      </c>
      <c r="AD151" t="n">
        <v>6</v>
      </c>
      <c r="AE151" t="n">
        <v>7</v>
      </c>
      <c r="AF151" t="n">
        <v>4</v>
      </c>
      <c r="AG151" t="n">
        <v>5</v>
      </c>
      <c r="AH151" t="n">
        <v>0</v>
      </c>
      <c r="AI151" t="n">
        <v>0</v>
      </c>
      <c r="AJ151" t="n">
        <v>2</v>
      </c>
      <c r="AK151" t="n">
        <v>3</v>
      </c>
      <c r="AL151" t="n">
        <v>1</v>
      </c>
      <c r="AM151" t="n">
        <v>1</v>
      </c>
      <c r="AN151" t="n">
        <v>0</v>
      </c>
      <c r="AO151" t="n">
        <v>0</v>
      </c>
      <c r="AP151" t="inlineStr">
        <is>
          <t>No</t>
        </is>
      </c>
      <c r="AQ151" t="inlineStr">
        <is>
          <t>Yes</t>
        </is>
      </c>
      <c r="AR151">
        <f>HYPERLINK("http://catalog.hathitrust.org/Record/001471665","HathiTrust Record")</f>
        <v/>
      </c>
      <c r="AS151">
        <f>HYPERLINK("https://creighton-primo.hosted.exlibrisgroup.com/primo-explore/search?tab=default_tab&amp;search_scope=EVERYTHING&amp;vid=01CRU&amp;lang=en_US&amp;offset=0&amp;query=any,contains,991003113199702656","Catalog Record")</f>
        <v/>
      </c>
      <c r="AT151">
        <f>HYPERLINK("http://www.worldcat.org/oclc/658094","WorldCat Record")</f>
        <v/>
      </c>
      <c r="AU151" t="inlineStr">
        <is>
          <t>398019:eng</t>
        </is>
      </c>
      <c r="AV151" t="inlineStr">
        <is>
          <t>658094</t>
        </is>
      </c>
      <c r="AW151" t="inlineStr">
        <is>
          <t>991003113199702656</t>
        </is>
      </c>
      <c r="AX151" t="inlineStr">
        <is>
          <t>991003113199702656</t>
        </is>
      </c>
      <c r="AY151" t="inlineStr">
        <is>
          <t>2260109580002656</t>
        </is>
      </c>
      <c r="AZ151" t="inlineStr">
        <is>
          <t>BOOK</t>
        </is>
      </c>
      <c r="BC151" t="inlineStr">
        <is>
          <t>32285001748952</t>
        </is>
      </c>
      <c r="BD151" t="inlineStr">
        <is>
          <t>893874444</t>
        </is>
      </c>
    </row>
    <row r="152">
      <c r="A152" t="inlineStr">
        <is>
          <t>No</t>
        </is>
      </c>
      <c r="B152" t="inlineStr">
        <is>
          <t>TT920 .G74 1992</t>
        </is>
      </c>
      <c r="C152" t="inlineStr">
        <is>
          <t>0                      TT 0920000G  74          1992</t>
        </is>
      </c>
      <c r="D152" t="inlineStr">
        <is>
          <t>Sculptural ceramics / Ian Gregory.</t>
        </is>
      </c>
      <c r="F152" t="inlineStr">
        <is>
          <t>No</t>
        </is>
      </c>
      <c r="G152" t="inlineStr">
        <is>
          <t>1</t>
        </is>
      </c>
      <c r="H152" t="inlineStr">
        <is>
          <t>No</t>
        </is>
      </c>
      <c r="I152" t="inlineStr">
        <is>
          <t>No</t>
        </is>
      </c>
      <c r="J152" t="inlineStr">
        <is>
          <t>0</t>
        </is>
      </c>
      <c r="K152" t="inlineStr">
        <is>
          <t>Gregory, Ian.</t>
        </is>
      </c>
      <c r="L152" t="inlineStr">
        <is>
          <t>London : A &amp; C Black ; Radnor, Pa. : Chilton, 1992.</t>
        </is>
      </c>
      <c r="M152" t="inlineStr">
        <is>
          <t>1992</t>
        </is>
      </c>
      <c r="O152" t="inlineStr">
        <is>
          <t>eng</t>
        </is>
      </c>
      <c r="P152" t="inlineStr">
        <is>
          <t>enk</t>
        </is>
      </c>
      <c r="R152" t="inlineStr">
        <is>
          <t xml:space="preserve">TT </t>
        </is>
      </c>
      <c r="S152" t="n">
        <v>5</v>
      </c>
      <c r="T152" t="n">
        <v>5</v>
      </c>
      <c r="U152" t="inlineStr">
        <is>
          <t>2007-07-24</t>
        </is>
      </c>
      <c r="V152" t="inlineStr">
        <is>
          <t>2007-07-24</t>
        </is>
      </c>
      <c r="W152" t="inlineStr">
        <is>
          <t>1994-06-06</t>
        </is>
      </c>
      <c r="X152" t="inlineStr">
        <is>
          <t>1994-06-06</t>
        </is>
      </c>
      <c r="Y152" t="n">
        <v>366</v>
      </c>
      <c r="Z152" t="n">
        <v>233</v>
      </c>
      <c r="AA152" t="n">
        <v>256</v>
      </c>
      <c r="AB152" t="n">
        <v>5</v>
      </c>
      <c r="AC152" t="n">
        <v>5</v>
      </c>
      <c r="AD152" t="n">
        <v>8</v>
      </c>
      <c r="AE152" t="n">
        <v>8</v>
      </c>
      <c r="AF152" t="n">
        <v>3</v>
      </c>
      <c r="AG152" t="n">
        <v>3</v>
      </c>
      <c r="AH152" t="n">
        <v>1</v>
      </c>
      <c r="AI152" t="n">
        <v>1</v>
      </c>
      <c r="AJ152" t="n">
        <v>2</v>
      </c>
      <c r="AK152" t="n">
        <v>2</v>
      </c>
      <c r="AL152" t="n">
        <v>3</v>
      </c>
      <c r="AM152" t="n">
        <v>3</v>
      </c>
      <c r="AN152" t="n">
        <v>0</v>
      </c>
      <c r="AO152" t="n">
        <v>0</v>
      </c>
      <c r="AP152" t="inlineStr">
        <is>
          <t>No</t>
        </is>
      </c>
      <c r="AQ152" t="inlineStr">
        <is>
          <t>No</t>
        </is>
      </c>
      <c r="AS152">
        <f>HYPERLINK("https://creighton-primo.hosted.exlibrisgroup.com/primo-explore/search?tab=default_tab&amp;search_scope=EVERYTHING&amp;vid=01CRU&amp;lang=en_US&amp;offset=0&amp;query=any,contains,991002118659702656","Catalog Record")</f>
        <v/>
      </c>
      <c r="AT152">
        <f>HYPERLINK("http://www.worldcat.org/oclc/787166065","WorldCat Record")</f>
        <v/>
      </c>
      <c r="AU152" t="inlineStr">
        <is>
          <t>8908384397:eng</t>
        </is>
      </c>
      <c r="AV152" t="inlineStr">
        <is>
          <t>787166065</t>
        </is>
      </c>
      <c r="AW152" t="inlineStr">
        <is>
          <t>991002118659702656</t>
        </is>
      </c>
      <c r="AX152" t="inlineStr">
        <is>
          <t>991002118659702656</t>
        </is>
      </c>
      <c r="AY152" t="inlineStr">
        <is>
          <t>2259345120002656</t>
        </is>
      </c>
      <c r="AZ152" t="inlineStr">
        <is>
          <t>BOOK</t>
        </is>
      </c>
      <c r="BB152" t="inlineStr">
        <is>
          <t>9780713635805</t>
        </is>
      </c>
      <c r="BC152" t="inlineStr">
        <is>
          <t>32285001921294</t>
        </is>
      </c>
      <c r="BD152" t="inlineStr">
        <is>
          <t>893626964</t>
        </is>
      </c>
    </row>
    <row r="153">
      <c r="A153" t="inlineStr">
        <is>
          <t>No</t>
        </is>
      </c>
      <c r="B153" t="inlineStr">
        <is>
          <t>TT920 .H66 1986</t>
        </is>
      </c>
      <c r="C153" t="inlineStr">
        <is>
          <t>0                      TT 0920000H  66          1986</t>
        </is>
      </c>
      <c r="D153" t="inlineStr">
        <is>
          <t>Functional pottery : form and aesthetic in pots of purpose / Robin Hopper.</t>
        </is>
      </c>
      <c r="F153" t="inlineStr">
        <is>
          <t>No</t>
        </is>
      </c>
      <c r="G153" t="inlineStr">
        <is>
          <t>1</t>
        </is>
      </c>
      <c r="H153" t="inlineStr">
        <is>
          <t>No</t>
        </is>
      </c>
      <c r="I153" t="inlineStr">
        <is>
          <t>No</t>
        </is>
      </c>
      <c r="J153" t="inlineStr">
        <is>
          <t>0</t>
        </is>
      </c>
      <c r="K153" t="inlineStr">
        <is>
          <t>Hopper, Robin.</t>
        </is>
      </c>
      <c r="L153" t="inlineStr">
        <is>
          <t>Radnor, Pa. : Chilton Book Co., c1986.</t>
        </is>
      </c>
      <c r="M153" t="inlineStr">
        <is>
          <t>1986</t>
        </is>
      </c>
      <c r="O153" t="inlineStr">
        <is>
          <t>eng</t>
        </is>
      </c>
      <c r="P153" t="inlineStr">
        <is>
          <t>pau</t>
        </is>
      </c>
      <c r="R153" t="inlineStr">
        <is>
          <t xml:space="preserve">TT </t>
        </is>
      </c>
      <c r="S153" t="n">
        <v>5</v>
      </c>
      <c r="T153" t="n">
        <v>5</v>
      </c>
      <c r="U153" t="inlineStr">
        <is>
          <t>1997-11-25</t>
        </is>
      </c>
      <c r="V153" t="inlineStr">
        <is>
          <t>1997-11-25</t>
        </is>
      </c>
      <c r="W153" t="inlineStr">
        <is>
          <t>1990-05-17</t>
        </is>
      </c>
      <c r="X153" t="inlineStr">
        <is>
          <t>1990-05-17</t>
        </is>
      </c>
      <c r="Y153" t="n">
        <v>657</v>
      </c>
      <c r="Z153" t="n">
        <v>579</v>
      </c>
      <c r="AA153" t="n">
        <v>925</v>
      </c>
      <c r="AB153" t="n">
        <v>8</v>
      </c>
      <c r="AC153" t="n">
        <v>10</v>
      </c>
      <c r="AD153" t="n">
        <v>12</v>
      </c>
      <c r="AE153" t="n">
        <v>15</v>
      </c>
      <c r="AF153" t="n">
        <v>5</v>
      </c>
      <c r="AG153" t="n">
        <v>6</v>
      </c>
      <c r="AH153" t="n">
        <v>1</v>
      </c>
      <c r="AI153" t="n">
        <v>2</v>
      </c>
      <c r="AJ153" t="n">
        <v>3</v>
      </c>
      <c r="AK153" t="n">
        <v>3</v>
      </c>
      <c r="AL153" t="n">
        <v>6</v>
      </c>
      <c r="AM153" t="n">
        <v>7</v>
      </c>
      <c r="AN153" t="n">
        <v>0</v>
      </c>
      <c r="AO153" t="n">
        <v>0</v>
      </c>
      <c r="AP153" t="inlineStr">
        <is>
          <t>No</t>
        </is>
      </c>
      <c r="AQ153" t="inlineStr">
        <is>
          <t>Yes</t>
        </is>
      </c>
      <c r="AR153">
        <f>HYPERLINK("http://catalog.hathitrust.org/Record/001093975","HathiTrust Record")</f>
        <v/>
      </c>
      <c r="AS153">
        <f>HYPERLINK("https://creighton-primo.hosted.exlibrisgroup.com/primo-explore/search?tab=default_tab&amp;search_scope=EVERYTHING&amp;vid=01CRU&amp;lang=en_US&amp;offset=0&amp;query=any,contains,991000766849702656","Catalog Record")</f>
        <v/>
      </c>
      <c r="AT153">
        <f>HYPERLINK("http://www.worldcat.org/oclc/13003841","WorldCat Record")</f>
        <v/>
      </c>
      <c r="AU153" t="inlineStr">
        <is>
          <t>46262644:eng</t>
        </is>
      </c>
      <c r="AV153" t="inlineStr">
        <is>
          <t>13003841</t>
        </is>
      </c>
      <c r="AW153" t="inlineStr">
        <is>
          <t>991000766849702656</t>
        </is>
      </c>
      <c r="AX153" t="inlineStr">
        <is>
          <t>991000766849702656</t>
        </is>
      </c>
      <c r="AY153" t="inlineStr">
        <is>
          <t>2262760810002656</t>
        </is>
      </c>
      <c r="AZ153" t="inlineStr">
        <is>
          <t>BOOK</t>
        </is>
      </c>
      <c r="BB153" t="inlineStr">
        <is>
          <t>9780801974519</t>
        </is>
      </c>
      <c r="BC153" t="inlineStr">
        <is>
          <t>32285000137470</t>
        </is>
      </c>
      <c r="BD153" t="inlineStr">
        <is>
          <t>893528373</t>
        </is>
      </c>
    </row>
    <row r="154">
      <c r="A154" t="inlineStr">
        <is>
          <t>No</t>
        </is>
      </c>
      <c r="B154" t="inlineStr">
        <is>
          <t>TT920 .S685 1989</t>
        </is>
      </c>
      <c r="C154" t="inlineStr">
        <is>
          <t>0                      TT 0920000S  685         1989</t>
        </is>
      </c>
      <c r="D154" t="inlineStr">
        <is>
          <t>Hands in clay : an introduction to ceramics / Charlotte F. Speight ; John Toki, technical advisor/collaborator.</t>
        </is>
      </c>
      <c r="F154" t="inlineStr">
        <is>
          <t>No</t>
        </is>
      </c>
      <c r="G154" t="inlineStr">
        <is>
          <t>1</t>
        </is>
      </c>
      <c r="H154" t="inlineStr">
        <is>
          <t>No</t>
        </is>
      </c>
      <c r="I154" t="inlineStr">
        <is>
          <t>No</t>
        </is>
      </c>
      <c r="J154" t="inlineStr">
        <is>
          <t>0</t>
        </is>
      </c>
      <c r="K154" t="inlineStr">
        <is>
          <t>Speight, Charlotte F., 1919-</t>
        </is>
      </c>
      <c r="L154" t="inlineStr">
        <is>
          <t>Mountain View, Calif. : Mayfield, c1989.</t>
        </is>
      </c>
      <c r="M154" t="inlineStr">
        <is>
          <t>1989</t>
        </is>
      </c>
      <c r="N154" t="inlineStr">
        <is>
          <t>2nd ed.</t>
        </is>
      </c>
      <c r="O154" t="inlineStr">
        <is>
          <t>eng</t>
        </is>
      </c>
      <c r="P154" t="inlineStr">
        <is>
          <t>cau</t>
        </is>
      </c>
      <c r="R154" t="inlineStr">
        <is>
          <t xml:space="preserve">TT </t>
        </is>
      </c>
      <c r="S154" t="n">
        <v>15</v>
      </c>
      <c r="T154" t="n">
        <v>15</v>
      </c>
      <c r="U154" t="inlineStr">
        <is>
          <t>2001-03-21</t>
        </is>
      </c>
      <c r="V154" t="inlineStr">
        <is>
          <t>2001-03-21</t>
        </is>
      </c>
      <c r="W154" t="inlineStr">
        <is>
          <t>1991-06-11</t>
        </is>
      </c>
      <c r="X154" t="inlineStr">
        <is>
          <t>1991-06-11</t>
        </is>
      </c>
      <c r="Y154" t="n">
        <v>226</v>
      </c>
      <c r="Z154" t="n">
        <v>198</v>
      </c>
      <c r="AA154" t="n">
        <v>554</v>
      </c>
      <c r="AB154" t="n">
        <v>2</v>
      </c>
      <c r="AC154" t="n">
        <v>4</v>
      </c>
      <c r="AD154" t="n">
        <v>6</v>
      </c>
      <c r="AE154" t="n">
        <v>11</v>
      </c>
      <c r="AF154" t="n">
        <v>3</v>
      </c>
      <c r="AG154" t="n">
        <v>5</v>
      </c>
      <c r="AH154" t="n">
        <v>1</v>
      </c>
      <c r="AI154" t="n">
        <v>2</v>
      </c>
      <c r="AJ154" t="n">
        <v>3</v>
      </c>
      <c r="AK154" t="n">
        <v>5</v>
      </c>
      <c r="AL154" t="n">
        <v>1</v>
      </c>
      <c r="AM154" t="n">
        <v>2</v>
      </c>
      <c r="AN154" t="n">
        <v>0</v>
      </c>
      <c r="AO154" t="n">
        <v>0</v>
      </c>
      <c r="AP154" t="inlineStr">
        <is>
          <t>No</t>
        </is>
      </c>
      <c r="AQ154" t="inlineStr">
        <is>
          <t>Yes</t>
        </is>
      </c>
      <c r="AR154">
        <f>HYPERLINK("http://catalog.hathitrust.org/Record/002787646","HathiTrust Record")</f>
        <v/>
      </c>
      <c r="AS154">
        <f>HYPERLINK("https://creighton-primo.hosted.exlibrisgroup.com/primo-explore/search?tab=default_tab&amp;search_scope=EVERYTHING&amp;vid=01CRU&amp;lang=en_US&amp;offset=0&amp;query=any,contains,991001363899702656","Catalog Record")</f>
        <v/>
      </c>
      <c r="AT154">
        <f>HYPERLINK("http://www.worldcat.org/oclc/18557105","WorldCat Record")</f>
        <v/>
      </c>
      <c r="AU154" t="inlineStr">
        <is>
          <t>3281748:eng</t>
        </is>
      </c>
      <c r="AV154" t="inlineStr">
        <is>
          <t>18557105</t>
        </is>
      </c>
      <c r="AW154" t="inlineStr">
        <is>
          <t>991001363899702656</t>
        </is>
      </c>
      <c r="AX154" t="inlineStr">
        <is>
          <t>991001363899702656</t>
        </is>
      </c>
      <c r="AY154" t="inlineStr">
        <is>
          <t>2264062450002656</t>
        </is>
      </c>
      <c r="AZ154" t="inlineStr">
        <is>
          <t>BOOK</t>
        </is>
      </c>
      <c r="BB154" t="inlineStr">
        <is>
          <t>9780874848489</t>
        </is>
      </c>
      <c r="BC154" t="inlineStr">
        <is>
          <t>32285000594241</t>
        </is>
      </c>
      <c r="BD154" t="inlineStr">
        <is>
          <t>893702965</t>
        </is>
      </c>
    </row>
    <row r="155">
      <c r="A155" t="inlineStr">
        <is>
          <t>No</t>
        </is>
      </c>
      <c r="B155" t="inlineStr">
        <is>
          <t>TT920 .W65 1978</t>
        </is>
      </c>
      <c r="C155" t="inlineStr">
        <is>
          <t>0                      TT 0920000W  65          1978</t>
        </is>
      </c>
      <c r="D155" t="inlineStr">
        <is>
          <t>Handbuilding ceramic forms / Elsbeth S. Woody.</t>
        </is>
      </c>
      <c r="F155" t="inlineStr">
        <is>
          <t>No</t>
        </is>
      </c>
      <c r="G155" t="inlineStr">
        <is>
          <t>1</t>
        </is>
      </c>
      <c r="H155" t="inlineStr">
        <is>
          <t>No</t>
        </is>
      </c>
      <c r="I155" t="inlineStr">
        <is>
          <t>No</t>
        </is>
      </c>
      <c r="J155" t="inlineStr">
        <is>
          <t>0</t>
        </is>
      </c>
      <c r="K155" t="inlineStr">
        <is>
          <t>Woody, Elsbeth S.</t>
        </is>
      </c>
      <c r="L155" t="inlineStr">
        <is>
          <t>New York : Farrar, Straus, Giroux, c1978.</t>
        </is>
      </c>
      <c r="M155" t="inlineStr">
        <is>
          <t>1978</t>
        </is>
      </c>
      <c r="O155" t="inlineStr">
        <is>
          <t>eng</t>
        </is>
      </c>
      <c r="P155" t="inlineStr">
        <is>
          <t>nyu</t>
        </is>
      </c>
      <c r="R155" t="inlineStr">
        <is>
          <t xml:space="preserve">TT </t>
        </is>
      </c>
      <c r="S155" t="n">
        <v>10</v>
      </c>
      <c r="T155" t="n">
        <v>10</v>
      </c>
      <c r="U155" t="inlineStr">
        <is>
          <t>2003-10-29</t>
        </is>
      </c>
      <c r="V155" t="inlineStr">
        <is>
          <t>2003-10-29</t>
        </is>
      </c>
      <c r="W155" t="inlineStr">
        <is>
          <t>1993-08-03</t>
        </is>
      </c>
      <c r="X155" t="inlineStr">
        <is>
          <t>1993-08-03</t>
        </is>
      </c>
      <c r="Y155" t="n">
        <v>725</v>
      </c>
      <c r="Z155" t="n">
        <v>670</v>
      </c>
      <c r="AA155" t="n">
        <v>763</v>
      </c>
      <c r="AB155" t="n">
        <v>8</v>
      </c>
      <c r="AC155" t="n">
        <v>8</v>
      </c>
      <c r="AD155" t="n">
        <v>19</v>
      </c>
      <c r="AE155" t="n">
        <v>20</v>
      </c>
      <c r="AF155" t="n">
        <v>8</v>
      </c>
      <c r="AG155" t="n">
        <v>9</v>
      </c>
      <c r="AH155" t="n">
        <v>2</v>
      </c>
      <c r="AI155" t="n">
        <v>2</v>
      </c>
      <c r="AJ155" t="n">
        <v>6</v>
      </c>
      <c r="AK155" t="n">
        <v>6</v>
      </c>
      <c r="AL155" t="n">
        <v>6</v>
      </c>
      <c r="AM155" t="n">
        <v>6</v>
      </c>
      <c r="AN155" t="n">
        <v>0</v>
      </c>
      <c r="AO155" t="n">
        <v>0</v>
      </c>
      <c r="AP155" t="inlineStr">
        <is>
          <t>No</t>
        </is>
      </c>
      <c r="AQ155" t="inlineStr">
        <is>
          <t>No</t>
        </is>
      </c>
      <c r="AS155">
        <f>HYPERLINK("https://creighton-primo.hosted.exlibrisgroup.com/primo-explore/search?tab=default_tab&amp;search_scope=EVERYTHING&amp;vid=01CRU&amp;lang=en_US&amp;offset=0&amp;query=any,contains,991004539959702656","Catalog Record")</f>
        <v/>
      </c>
      <c r="AT155">
        <f>HYPERLINK("http://www.worldcat.org/oclc/3892689","WorldCat Record")</f>
        <v/>
      </c>
      <c r="AU155" t="inlineStr">
        <is>
          <t>1887731342:eng</t>
        </is>
      </c>
      <c r="AV155" t="inlineStr">
        <is>
          <t>3892689</t>
        </is>
      </c>
      <c r="AW155" t="inlineStr">
        <is>
          <t>991004539959702656</t>
        </is>
      </c>
      <c r="AX155" t="inlineStr">
        <is>
          <t>991004539959702656</t>
        </is>
      </c>
      <c r="AY155" t="inlineStr">
        <is>
          <t>2272300220002656</t>
        </is>
      </c>
      <c r="AZ155" t="inlineStr">
        <is>
          <t>BOOK</t>
        </is>
      </c>
      <c r="BB155" t="inlineStr">
        <is>
          <t>9780374167738</t>
        </is>
      </c>
      <c r="BC155" t="inlineStr">
        <is>
          <t>32285001748978</t>
        </is>
      </c>
      <c r="BD155" t="inlineStr">
        <is>
          <t>893895127</t>
        </is>
      </c>
    </row>
    <row r="156">
      <c r="A156" t="inlineStr">
        <is>
          <t>No</t>
        </is>
      </c>
      <c r="B156" t="inlineStr">
        <is>
          <t>TT922 .O88 1999</t>
        </is>
      </c>
      <c r="C156" t="inlineStr">
        <is>
          <t>0                      TT 0922000O  88          1999</t>
        </is>
      </c>
      <c r="D156" t="inlineStr">
        <is>
          <t>The new maiolica : contemporary approaches to colour and technique / Matthias Ostermann.</t>
        </is>
      </c>
      <c r="F156" t="inlineStr">
        <is>
          <t>No</t>
        </is>
      </c>
      <c r="G156" t="inlineStr">
        <is>
          <t>1</t>
        </is>
      </c>
      <c r="H156" t="inlineStr">
        <is>
          <t>No</t>
        </is>
      </c>
      <c r="I156" t="inlineStr">
        <is>
          <t>No</t>
        </is>
      </c>
      <c r="J156" t="inlineStr">
        <is>
          <t>0</t>
        </is>
      </c>
      <c r="K156" t="inlineStr">
        <is>
          <t>Ostermann, Matthias.</t>
        </is>
      </c>
      <c r="L156" t="inlineStr">
        <is>
          <t>London : A &amp; C Black ; Philadelphia : University of Pennsylvania Press, 1999.</t>
        </is>
      </c>
      <c r="M156" t="inlineStr">
        <is>
          <t>1999</t>
        </is>
      </c>
      <c r="O156" t="inlineStr">
        <is>
          <t>eng</t>
        </is>
      </c>
      <c r="P156" t="inlineStr">
        <is>
          <t>enk</t>
        </is>
      </c>
      <c r="R156" t="inlineStr">
        <is>
          <t xml:space="preserve">TT </t>
        </is>
      </c>
      <c r="S156" t="n">
        <v>4</v>
      </c>
      <c r="T156" t="n">
        <v>4</v>
      </c>
      <c r="U156" t="inlineStr">
        <is>
          <t>2003-10-29</t>
        </is>
      </c>
      <c r="V156" t="inlineStr">
        <is>
          <t>2003-10-29</t>
        </is>
      </c>
      <c r="W156" t="inlineStr">
        <is>
          <t>2000-08-01</t>
        </is>
      </c>
      <c r="X156" t="inlineStr">
        <is>
          <t>2000-08-01</t>
        </is>
      </c>
      <c r="Y156" t="n">
        <v>540</v>
      </c>
      <c r="Z156" t="n">
        <v>473</v>
      </c>
      <c r="AA156" t="n">
        <v>482</v>
      </c>
      <c r="AB156" t="n">
        <v>4</v>
      </c>
      <c r="AC156" t="n">
        <v>4</v>
      </c>
      <c r="AD156" t="n">
        <v>15</v>
      </c>
      <c r="AE156" t="n">
        <v>15</v>
      </c>
      <c r="AF156" t="n">
        <v>6</v>
      </c>
      <c r="AG156" t="n">
        <v>6</v>
      </c>
      <c r="AH156" t="n">
        <v>6</v>
      </c>
      <c r="AI156" t="n">
        <v>6</v>
      </c>
      <c r="AJ156" t="n">
        <v>4</v>
      </c>
      <c r="AK156" t="n">
        <v>4</v>
      </c>
      <c r="AL156" t="n">
        <v>3</v>
      </c>
      <c r="AM156" t="n">
        <v>3</v>
      </c>
      <c r="AN156" t="n">
        <v>0</v>
      </c>
      <c r="AO156" t="n">
        <v>0</v>
      </c>
      <c r="AP156" t="inlineStr">
        <is>
          <t>No</t>
        </is>
      </c>
      <c r="AQ156" t="inlineStr">
        <is>
          <t>No</t>
        </is>
      </c>
      <c r="AS156">
        <f>HYPERLINK("https://creighton-primo.hosted.exlibrisgroup.com/primo-explore/search?tab=default_tab&amp;search_scope=EVERYTHING&amp;vid=01CRU&amp;lang=en_US&amp;offset=0&amp;query=any,contains,991003228789702656","Catalog Record")</f>
        <v/>
      </c>
      <c r="AT156">
        <f>HYPERLINK("http://www.worldcat.org/oclc/40954067","WorldCat Record")</f>
        <v/>
      </c>
      <c r="AU156" t="inlineStr">
        <is>
          <t>793852805:eng</t>
        </is>
      </c>
      <c r="AV156" t="inlineStr">
        <is>
          <t>40954067</t>
        </is>
      </c>
      <c r="AW156" t="inlineStr">
        <is>
          <t>991003228789702656</t>
        </is>
      </c>
      <c r="AX156" t="inlineStr">
        <is>
          <t>991003228789702656</t>
        </is>
      </c>
      <c r="AY156" t="inlineStr">
        <is>
          <t>2262945310002656</t>
        </is>
      </c>
      <c r="AZ156" t="inlineStr">
        <is>
          <t>BOOK</t>
        </is>
      </c>
      <c r="BB156" t="inlineStr">
        <is>
          <t>9780713648782</t>
        </is>
      </c>
      <c r="BC156" t="inlineStr">
        <is>
          <t>32285003744330</t>
        </is>
      </c>
      <c r="BD156" t="inlineStr">
        <is>
          <t>893705036</t>
        </is>
      </c>
    </row>
    <row r="157">
      <c r="A157" t="inlineStr">
        <is>
          <t>No</t>
        </is>
      </c>
      <c r="B157" t="inlineStr">
        <is>
          <t>TT924 .O44 1983</t>
        </is>
      </c>
      <c r="C157" t="inlineStr">
        <is>
          <t>0                      TT 0924000O  44          1983</t>
        </is>
      </c>
      <c r="D157" t="inlineStr">
        <is>
          <t>The kiln book : materials, specifications, and construction / Frederick L. Olsen.</t>
        </is>
      </c>
      <c r="F157" t="inlineStr">
        <is>
          <t>No</t>
        </is>
      </c>
      <c r="G157" t="inlineStr">
        <is>
          <t>1</t>
        </is>
      </c>
      <c r="H157" t="inlineStr">
        <is>
          <t>No</t>
        </is>
      </c>
      <c r="I157" t="inlineStr">
        <is>
          <t>No</t>
        </is>
      </c>
      <c r="J157" t="inlineStr">
        <is>
          <t>0</t>
        </is>
      </c>
      <c r="K157" t="inlineStr">
        <is>
          <t>Olsen, Frederick L.</t>
        </is>
      </c>
      <c r="L157" t="inlineStr">
        <is>
          <t>Radnor, Pa. : Chilton Book Co., c1983.</t>
        </is>
      </c>
      <c r="M157" t="inlineStr">
        <is>
          <t>1983</t>
        </is>
      </c>
      <c r="N157" t="inlineStr">
        <is>
          <t>2nd ed.</t>
        </is>
      </c>
      <c r="O157" t="inlineStr">
        <is>
          <t>eng</t>
        </is>
      </c>
      <c r="P157" t="inlineStr">
        <is>
          <t>pau</t>
        </is>
      </c>
      <c r="R157" t="inlineStr">
        <is>
          <t xml:space="preserve">TT </t>
        </is>
      </c>
      <c r="S157" t="n">
        <v>1</v>
      </c>
      <c r="T157" t="n">
        <v>1</v>
      </c>
      <c r="U157" t="inlineStr">
        <is>
          <t>1994-05-09</t>
        </is>
      </c>
      <c r="V157" t="inlineStr">
        <is>
          <t>1994-05-09</t>
        </is>
      </c>
      <c r="W157" t="inlineStr">
        <is>
          <t>1993-08-03</t>
        </is>
      </c>
      <c r="X157" t="inlineStr">
        <is>
          <t>1993-08-03</t>
        </is>
      </c>
      <c r="Y157" t="n">
        <v>714</v>
      </c>
      <c r="Z157" t="n">
        <v>636</v>
      </c>
      <c r="AA157" t="n">
        <v>1216</v>
      </c>
      <c r="AB157" t="n">
        <v>5</v>
      </c>
      <c r="AC157" t="n">
        <v>6</v>
      </c>
      <c r="AD157" t="n">
        <v>10</v>
      </c>
      <c r="AE157" t="n">
        <v>17</v>
      </c>
      <c r="AF157" t="n">
        <v>4</v>
      </c>
      <c r="AG157" t="n">
        <v>8</v>
      </c>
      <c r="AH157" t="n">
        <v>0</v>
      </c>
      <c r="AI157" t="n">
        <v>4</v>
      </c>
      <c r="AJ157" t="n">
        <v>4</v>
      </c>
      <c r="AK157" t="n">
        <v>5</v>
      </c>
      <c r="AL157" t="n">
        <v>4</v>
      </c>
      <c r="AM157" t="n">
        <v>4</v>
      </c>
      <c r="AN157" t="n">
        <v>0</v>
      </c>
      <c r="AO157" t="n">
        <v>0</v>
      </c>
      <c r="AP157" t="inlineStr">
        <is>
          <t>No</t>
        </is>
      </c>
      <c r="AQ157" t="inlineStr">
        <is>
          <t>Yes</t>
        </is>
      </c>
      <c r="AR157">
        <f>HYPERLINK("http://catalog.hathitrust.org/Record/001831828","HathiTrust Record")</f>
        <v/>
      </c>
      <c r="AS157">
        <f>HYPERLINK("https://creighton-primo.hosted.exlibrisgroup.com/primo-explore/search?tab=default_tab&amp;search_scope=EVERYTHING&amp;vid=01CRU&amp;lang=en_US&amp;offset=0&amp;query=any,contains,991000071159702656","Catalog Record")</f>
        <v/>
      </c>
      <c r="AT157">
        <f>HYPERLINK("http://www.worldcat.org/oclc/8785156","WorldCat Record")</f>
        <v/>
      </c>
      <c r="AU157" t="inlineStr">
        <is>
          <t>838904308:eng</t>
        </is>
      </c>
      <c r="AV157" t="inlineStr">
        <is>
          <t>8785156</t>
        </is>
      </c>
      <c r="AW157" t="inlineStr">
        <is>
          <t>991000071159702656</t>
        </is>
      </c>
      <c r="AX157" t="inlineStr">
        <is>
          <t>991000071159702656</t>
        </is>
      </c>
      <c r="AY157" t="inlineStr">
        <is>
          <t>2266804560002656</t>
        </is>
      </c>
      <c r="AZ157" t="inlineStr">
        <is>
          <t>BOOK</t>
        </is>
      </c>
      <c r="BB157" t="inlineStr">
        <is>
          <t>9780801970719</t>
        </is>
      </c>
      <c r="BC157" t="inlineStr">
        <is>
          <t>32285001748986</t>
        </is>
      </c>
      <c r="BD157" t="inlineStr">
        <is>
          <t>893607591</t>
        </is>
      </c>
    </row>
    <row r="158">
      <c r="A158" t="inlineStr">
        <is>
          <t>No</t>
        </is>
      </c>
      <c r="B158" t="inlineStr">
        <is>
          <t>TT985 .W23 1978</t>
        </is>
      </c>
      <c r="C158" t="inlineStr">
        <is>
          <t>0                      TT 0985000W  23          1978</t>
        </is>
      </c>
      <c r="D158" t="inlineStr">
        <is>
          <t>Crinolines and crimping irons : Victorian clothes : how they were cleaned and cared for / [by] Christina Walkley and Vanda Foster.</t>
        </is>
      </c>
      <c r="F158" t="inlineStr">
        <is>
          <t>No</t>
        </is>
      </c>
      <c r="G158" t="inlineStr">
        <is>
          <t>1</t>
        </is>
      </c>
      <c r="H158" t="inlineStr">
        <is>
          <t>No</t>
        </is>
      </c>
      <c r="I158" t="inlineStr">
        <is>
          <t>No</t>
        </is>
      </c>
      <c r="J158" t="inlineStr">
        <is>
          <t>0</t>
        </is>
      </c>
      <c r="K158" t="inlineStr">
        <is>
          <t>Walkley, Christina.</t>
        </is>
      </c>
      <c r="L158" t="inlineStr">
        <is>
          <t>London : Owen, 1978.</t>
        </is>
      </c>
      <c r="M158" t="inlineStr">
        <is>
          <t>1978</t>
        </is>
      </c>
      <c r="O158" t="inlineStr">
        <is>
          <t>eng</t>
        </is>
      </c>
      <c r="P158" t="inlineStr">
        <is>
          <t>enk</t>
        </is>
      </c>
      <c r="R158" t="inlineStr">
        <is>
          <t xml:space="preserve">TT </t>
        </is>
      </c>
      <c r="S158" t="n">
        <v>6</v>
      </c>
      <c r="T158" t="n">
        <v>6</v>
      </c>
      <c r="U158" t="inlineStr">
        <is>
          <t>1997-12-12</t>
        </is>
      </c>
      <c r="V158" t="inlineStr">
        <is>
          <t>1997-12-12</t>
        </is>
      </c>
      <c r="W158" t="inlineStr">
        <is>
          <t>1993-08-03</t>
        </is>
      </c>
      <c r="X158" t="inlineStr">
        <is>
          <t>1993-08-03</t>
        </is>
      </c>
      <c r="Y158" t="n">
        <v>448</v>
      </c>
      <c r="Z158" t="n">
        <v>295</v>
      </c>
      <c r="AA158" t="n">
        <v>301</v>
      </c>
      <c r="AB158" t="n">
        <v>3</v>
      </c>
      <c r="AC158" t="n">
        <v>3</v>
      </c>
      <c r="AD158" t="n">
        <v>10</v>
      </c>
      <c r="AE158" t="n">
        <v>10</v>
      </c>
      <c r="AF158" t="n">
        <v>4</v>
      </c>
      <c r="AG158" t="n">
        <v>4</v>
      </c>
      <c r="AH158" t="n">
        <v>2</v>
      </c>
      <c r="AI158" t="n">
        <v>2</v>
      </c>
      <c r="AJ158" t="n">
        <v>2</v>
      </c>
      <c r="AK158" t="n">
        <v>2</v>
      </c>
      <c r="AL158" t="n">
        <v>2</v>
      </c>
      <c r="AM158" t="n">
        <v>2</v>
      </c>
      <c r="AN158" t="n">
        <v>0</v>
      </c>
      <c r="AO158" t="n">
        <v>0</v>
      </c>
      <c r="AP158" t="inlineStr">
        <is>
          <t>No</t>
        </is>
      </c>
      <c r="AQ158" t="inlineStr">
        <is>
          <t>Yes</t>
        </is>
      </c>
      <c r="AR158">
        <f>HYPERLINK("http://catalog.hathitrust.org/Record/000098103","HathiTrust Record")</f>
        <v/>
      </c>
      <c r="AS158">
        <f>HYPERLINK("https://creighton-primo.hosted.exlibrisgroup.com/primo-explore/search?tab=default_tab&amp;search_scope=EVERYTHING&amp;vid=01CRU&amp;lang=en_US&amp;offset=0&amp;query=any,contains,991004782609702656","Catalog Record")</f>
        <v/>
      </c>
      <c r="AT158">
        <f>HYPERLINK("http://www.worldcat.org/oclc/5125600","WorldCat Record")</f>
        <v/>
      </c>
      <c r="AU158" t="inlineStr">
        <is>
          <t>196752080:eng</t>
        </is>
      </c>
      <c r="AV158" t="inlineStr">
        <is>
          <t>5125600</t>
        </is>
      </c>
      <c r="AW158" t="inlineStr">
        <is>
          <t>991004782609702656</t>
        </is>
      </c>
      <c r="AX158" t="inlineStr">
        <is>
          <t>991004782609702656</t>
        </is>
      </c>
      <c r="AY158" t="inlineStr">
        <is>
          <t>2264541600002656</t>
        </is>
      </c>
      <c r="AZ158" t="inlineStr">
        <is>
          <t>BOOK</t>
        </is>
      </c>
      <c r="BB158" t="inlineStr">
        <is>
          <t>9780720605006</t>
        </is>
      </c>
      <c r="BC158" t="inlineStr">
        <is>
          <t>32285001748994</t>
        </is>
      </c>
      <c r="BD158" t="inlineStr">
        <is>
          <t>893600226</t>
        </is>
      </c>
    </row>
    <row r="159">
      <c r="A159" t="inlineStr">
        <is>
          <t>No</t>
        </is>
      </c>
      <c r="B159" t="inlineStr">
        <is>
          <t>TX147 .L58 1980</t>
        </is>
      </c>
      <c r="C159" t="inlineStr">
        <is>
          <t>0                      TX 0147000L  58          1980</t>
        </is>
      </c>
      <c r="D159" t="inlineStr">
        <is>
          <t>Living more with less / Doris Janzen Longacre ; introduction by Ronald J. Sider.</t>
        </is>
      </c>
      <c r="F159" t="inlineStr">
        <is>
          <t>No</t>
        </is>
      </c>
      <c r="G159" t="inlineStr">
        <is>
          <t>1</t>
        </is>
      </c>
      <c r="H159" t="inlineStr">
        <is>
          <t>No</t>
        </is>
      </c>
      <c r="I159" t="inlineStr">
        <is>
          <t>No</t>
        </is>
      </c>
      <c r="J159" t="inlineStr">
        <is>
          <t>0</t>
        </is>
      </c>
      <c r="L159" t="inlineStr">
        <is>
          <t>Scottdale, Pa. : Herald Press, 1980.</t>
        </is>
      </c>
      <c r="M159" t="inlineStr">
        <is>
          <t>1980</t>
        </is>
      </c>
      <c r="O159" t="inlineStr">
        <is>
          <t>eng</t>
        </is>
      </c>
      <c r="P159" t="inlineStr">
        <is>
          <t>pau</t>
        </is>
      </c>
      <c r="R159" t="inlineStr">
        <is>
          <t xml:space="preserve">TX </t>
        </is>
      </c>
      <c r="S159" t="n">
        <v>1</v>
      </c>
      <c r="T159" t="n">
        <v>1</v>
      </c>
      <c r="U159" t="inlineStr">
        <is>
          <t>2010-12-10</t>
        </is>
      </c>
      <c r="V159" t="inlineStr">
        <is>
          <t>2010-12-10</t>
        </is>
      </c>
      <c r="W159" t="inlineStr">
        <is>
          <t>2009-07-28</t>
        </is>
      </c>
      <c r="X159" t="inlineStr">
        <is>
          <t>2009-07-28</t>
        </is>
      </c>
      <c r="Y159" t="n">
        <v>411</v>
      </c>
      <c r="Z159" t="n">
        <v>377</v>
      </c>
      <c r="AA159" t="n">
        <v>443</v>
      </c>
      <c r="AB159" t="n">
        <v>6</v>
      </c>
      <c r="AC159" t="n">
        <v>6</v>
      </c>
      <c r="AD159" t="n">
        <v>10</v>
      </c>
      <c r="AE159" t="n">
        <v>11</v>
      </c>
      <c r="AF159" t="n">
        <v>3</v>
      </c>
      <c r="AG159" t="n">
        <v>3</v>
      </c>
      <c r="AH159" t="n">
        <v>1</v>
      </c>
      <c r="AI159" t="n">
        <v>2</v>
      </c>
      <c r="AJ159" t="n">
        <v>5</v>
      </c>
      <c r="AK159" t="n">
        <v>5</v>
      </c>
      <c r="AL159" t="n">
        <v>3</v>
      </c>
      <c r="AM159" t="n">
        <v>3</v>
      </c>
      <c r="AN159" t="n">
        <v>0</v>
      </c>
      <c r="AO159" t="n">
        <v>0</v>
      </c>
      <c r="AP159" t="inlineStr">
        <is>
          <t>No</t>
        </is>
      </c>
      <c r="AQ159" t="inlineStr">
        <is>
          <t>Yes</t>
        </is>
      </c>
      <c r="AR159">
        <f>HYPERLINK("http://catalog.hathitrust.org/Record/004476199","HathiTrust Record")</f>
        <v/>
      </c>
      <c r="AS159">
        <f>HYPERLINK("https://creighton-primo.hosted.exlibrisgroup.com/primo-explore/search?tab=default_tab&amp;search_scope=EVERYTHING&amp;vid=01CRU&amp;lang=en_US&amp;offset=0&amp;query=any,contains,991005328349702656","Catalog Record")</f>
        <v/>
      </c>
      <c r="AT159">
        <f>HYPERLINK("http://www.worldcat.org/oclc/6378842","WorldCat Record")</f>
        <v/>
      </c>
      <c r="AU159" t="inlineStr">
        <is>
          <t>3372332040:eng</t>
        </is>
      </c>
      <c r="AV159" t="inlineStr">
        <is>
          <t>6378842</t>
        </is>
      </c>
      <c r="AW159" t="inlineStr">
        <is>
          <t>991005328349702656</t>
        </is>
      </c>
      <c r="AX159" t="inlineStr">
        <is>
          <t>991005328349702656</t>
        </is>
      </c>
      <c r="AY159" t="inlineStr">
        <is>
          <t>2268855330002656</t>
        </is>
      </c>
      <c r="AZ159" t="inlineStr">
        <is>
          <t>BOOK</t>
        </is>
      </c>
      <c r="BB159" t="inlineStr">
        <is>
          <t>9780836119305</t>
        </is>
      </c>
      <c r="BC159" t="inlineStr">
        <is>
          <t>32285005539639</t>
        </is>
      </c>
      <c r="BD159" t="inlineStr">
        <is>
          <t>893811003</t>
        </is>
      </c>
    </row>
    <row r="160">
      <c r="A160" t="inlineStr">
        <is>
          <t>No</t>
        </is>
      </c>
      <c r="B160" t="inlineStr">
        <is>
          <t>TX158 .W58 1978</t>
        </is>
      </c>
      <c r="C160" t="inlineStr">
        <is>
          <t>0                      TX 0158000W  58          1978</t>
        </is>
      </c>
      <c r="D160" t="inlineStr">
        <is>
          <t>The Woman's day book of household hints / edited by Martha Ellen Hughes.</t>
        </is>
      </c>
      <c r="F160" t="inlineStr">
        <is>
          <t>No</t>
        </is>
      </c>
      <c r="G160" t="inlineStr">
        <is>
          <t>1</t>
        </is>
      </c>
      <c r="H160" t="inlineStr">
        <is>
          <t>No</t>
        </is>
      </c>
      <c r="I160" t="inlineStr">
        <is>
          <t>No</t>
        </is>
      </c>
      <c r="J160" t="inlineStr">
        <is>
          <t>0</t>
        </is>
      </c>
      <c r="L160" t="inlineStr">
        <is>
          <t>New York : Morrow, 1978.</t>
        </is>
      </c>
      <c r="M160" t="inlineStr">
        <is>
          <t>1978</t>
        </is>
      </c>
      <c r="N160" t="inlineStr">
        <is>
          <t>1st ed.</t>
        </is>
      </c>
      <c r="O160" t="inlineStr">
        <is>
          <t>eng</t>
        </is>
      </c>
      <c r="P160" t="inlineStr">
        <is>
          <t>nyu</t>
        </is>
      </c>
      <c r="R160" t="inlineStr">
        <is>
          <t xml:space="preserve">TX </t>
        </is>
      </c>
      <c r="S160" t="n">
        <v>2</v>
      </c>
      <c r="T160" t="n">
        <v>2</v>
      </c>
      <c r="U160" t="inlineStr">
        <is>
          <t>1995-02-20</t>
        </is>
      </c>
      <c r="V160" t="inlineStr">
        <is>
          <t>1995-02-20</t>
        </is>
      </c>
      <c r="W160" t="inlineStr">
        <is>
          <t>1993-08-03</t>
        </is>
      </c>
      <c r="X160" t="inlineStr">
        <is>
          <t>1993-08-03</t>
        </is>
      </c>
      <c r="Y160" t="n">
        <v>135</v>
      </c>
      <c r="Z160" t="n">
        <v>132</v>
      </c>
      <c r="AA160" t="n">
        <v>204</v>
      </c>
      <c r="AB160" t="n">
        <v>2</v>
      </c>
      <c r="AC160" t="n">
        <v>2</v>
      </c>
      <c r="AD160" t="n">
        <v>0</v>
      </c>
      <c r="AE160" t="n">
        <v>0</v>
      </c>
      <c r="AF160" t="n">
        <v>0</v>
      </c>
      <c r="AG160" t="n">
        <v>0</v>
      </c>
      <c r="AH160" t="n">
        <v>0</v>
      </c>
      <c r="AI160" t="n">
        <v>0</v>
      </c>
      <c r="AJ160" t="n">
        <v>0</v>
      </c>
      <c r="AK160" t="n">
        <v>0</v>
      </c>
      <c r="AL160" t="n">
        <v>0</v>
      </c>
      <c r="AM160" t="n">
        <v>0</v>
      </c>
      <c r="AN160" t="n">
        <v>0</v>
      </c>
      <c r="AO160" t="n">
        <v>0</v>
      </c>
      <c r="AP160" t="inlineStr">
        <is>
          <t>No</t>
        </is>
      </c>
      <c r="AQ160" t="inlineStr">
        <is>
          <t>No</t>
        </is>
      </c>
      <c r="AS160">
        <f>HYPERLINK("https://creighton-primo.hosted.exlibrisgroup.com/primo-explore/search?tab=default_tab&amp;search_scope=EVERYTHING&amp;vid=01CRU&amp;lang=en_US&amp;offset=0&amp;query=any,contains,991004445249702656","Catalog Record")</f>
        <v/>
      </c>
      <c r="AT160">
        <f>HYPERLINK("http://www.worldcat.org/oclc/3481188","WorldCat Record")</f>
        <v/>
      </c>
      <c r="AU160" t="inlineStr">
        <is>
          <t>54194863:eng</t>
        </is>
      </c>
      <c r="AV160" t="inlineStr">
        <is>
          <t>3481188</t>
        </is>
      </c>
      <c r="AW160" t="inlineStr">
        <is>
          <t>991004445249702656</t>
        </is>
      </c>
      <c r="AX160" t="inlineStr">
        <is>
          <t>991004445249702656</t>
        </is>
      </c>
      <c r="AY160" t="inlineStr">
        <is>
          <t>2264453760002656</t>
        </is>
      </c>
      <c r="AZ160" t="inlineStr">
        <is>
          <t>BOOK</t>
        </is>
      </c>
      <c r="BB160" t="inlineStr">
        <is>
          <t>9780688032838</t>
        </is>
      </c>
      <c r="BC160" t="inlineStr">
        <is>
          <t>32285001749018</t>
        </is>
      </c>
      <c r="BD160" t="inlineStr">
        <is>
          <t>893869722</t>
        </is>
      </c>
    </row>
    <row r="161">
      <c r="A161" t="inlineStr">
        <is>
          <t>No</t>
        </is>
      </c>
      <c r="B161" t="inlineStr">
        <is>
          <t>TX173 .S44 1995</t>
        </is>
      </c>
      <c r="C161" t="inlineStr">
        <is>
          <t>0                      TX 0173000S  44          1995</t>
        </is>
      </c>
      <c r="D161" t="inlineStr">
        <is>
          <t>Perfection salad : women and cooking at the turn of the century / by Laura Shapiro.</t>
        </is>
      </c>
      <c r="F161" t="inlineStr">
        <is>
          <t>No</t>
        </is>
      </c>
      <c r="G161" t="inlineStr">
        <is>
          <t>1</t>
        </is>
      </c>
      <c r="H161" t="inlineStr">
        <is>
          <t>No</t>
        </is>
      </c>
      <c r="I161" t="inlineStr">
        <is>
          <t>No</t>
        </is>
      </c>
      <c r="J161" t="inlineStr">
        <is>
          <t>0</t>
        </is>
      </c>
      <c r="K161" t="inlineStr">
        <is>
          <t>Shapiro, Laura.</t>
        </is>
      </c>
      <c r="L161" t="inlineStr">
        <is>
          <t>New York : North Point Press/Farrar, Straus, and Giroux, 1995, c1986.</t>
        </is>
      </c>
      <c r="M161" t="inlineStr">
        <is>
          <t>1995</t>
        </is>
      </c>
      <c r="N161" t="inlineStr">
        <is>
          <t>North Point Press ed.</t>
        </is>
      </c>
      <c r="O161" t="inlineStr">
        <is>
          <t>eng</t>
        </is>
      </c>
      <c r="P161" t="inlineStr">
        <is>
          <t>nyu</t>
        </is>
      </c>
      <c r="R161" t="inlineStr">
        <is>
          <t xml:space="preserve">TX </t>
        </is>
      </c>
      <c r="S161" t="n">
        <v>6</v>
      </c>
      <c r="T161" t="n">
        <v>6</v>
      </c>
      <c r="U161" t="inlineStr">
        <is>
          <t>2004-02-17</t>
        </is>
      </c>
      <c r="V161" t="inlineStr">
        <is>
          <t>2004-02-17</t>
        </is>
      </c>
      <c r="W161" t="inlineStr">
        <is>
          <t>1996-06-05</t>
        </is>
      </c>
      <c r="X161" t="inlineStr">
        <is>
          <t>1996-06-05</t>
        </is>
      </c>
      <c r="Y161" t="n">
        <v>34</v>
      </c>
      <c r="Z161" t="n">
        <v>32</v>
      </c>
      <c r="AA161" t="n">
        <v>933</v>
      </c>
      <c r="AB161" t="n">
        <v>1</v>
      </c>
      <c r="AC161" t="n">
        <v>7</v>
      </c>
      <c r="AD161" t="n">
        <v>2</v>
      </c>
      <c r="AE161" t="n">
        <v>27</v>
      </c>
      <c r="AF161" t="n">
        <v>2</v>
      </c>
      <c r="AG161" t="n">
        <v>11</v>
      </c>
      <c r="AH161" t="n">
        <v>0</v>
      </c>
      <c r="AI161" t="n">
        <v>4</v>
      </c>
      <c r="AJ161" t="n">
        <v>1</v>
      </c>
      <c r="AK161" t="n">
        <v>12</v>
      </c>
      <c r="AL161" t="n">
        <v>0</v>
      </c>
      <c r="AM161" t="n">
        <v>6</v>
      </c>
      <c r="AN161" t="n">
        <v>0</v>
      </c>
      <c r="AO161" t="n">
        <v>0</v>
      </c>
      <c r="AP161" t="inlineStr">
        <is>
          <t>No</t>
        </is>
      </c>
      <c r="AQ161" t="inlineStr">
        <is>
          <t>No</t>
        </is>
      </c>
      <c r="AS161">
        <f>HYPERLINK("https://creighton-primo.hosted.exlibrisgroup.com/primo-explore/search?tab=default_tab&amp;search_scope=EVERYTHING&amp;vid=01CRU&amp;lang=en_US&amp;offset=0&amp;query=any,contains,991002543989702656","Catalog Record")</f>
        <v/>
      </c>
      <c r="AT161">
        <f>HYPERLINK("http://www.worldcat.org/oclc/33055787","WorldCat Record")</f>
        <v/>
      </c>
      <c r="AU161" t="inlineStr">
        <is>
          <t>5358398:eng</t>
        </is>
      </c>
      <c r="AV161" t="inlineStr">
        <is>
          <t>33055787</t>
        </is>
      </c>
      <c r="AW161" t="inlineStr">
        <is>
          <t>991002543989702656</t>
        </is>
      </c>
      <c r="AX161" t="inlineStr">
        <is>
          <t>991002543989702656</t>
        </is>
      </c>
      <c r="AY161" t="inlineStr">
        <is>
          <t>2272003850002656</t>
        </is>
      </c>
      <c r="AZ161" t="inlineStr">
        <is>
          <t>BOOK</t>
        </is>
      </c>
      <c r="BB161" t="inlineStr">
        <is>
          <t>9780865474864</t>
        </is>
      </c>
      <c r="BC161" t="inlineStr">
        <is>
          <t>32285002187788</t>
        </is>
      </c>
      <c r="BD161" t="inlineStr">
        <is>
          <t>893773745</t>
        </is>
      </c>
    </row>
    <row r="162">
      <c r="A162" t="inlineStr">
        <is>
          <t>No</t>
        </is>
      </c>
      <c r="B162" t="inlineStr">
        <is>
          <t>TX325 .F7413 1978</t>
        </is>
      </c>
      <c r="C162" t="inlineStr">
        <is>
          <t>0                      TX 0325000F  7413        1978</t>
        </is>
      </c>
      <c r="D162" t="inlineStr">
        <is>
          <t>Twelve little housemates / by Karl von Frisch ; translated by A. T. Sugar.</t>
        </is>
      </c>
      <c r="F162" t="inlineStr">
        <is>
          <t>No</t>
        </is>
      </c>
      <c r="G162" t="inlineStr">
        <is>
          <t>1</t>
        </is>
      </c>
      <c r="H162" t="inlineStr">
        <is>
          <t>No</t>
        </is>
      </c>
      <c r="I162" t="inlineStr">
        <is>
          <t>No</t>
        </is>
      </c>
      <c r="J162" t="inlineStr">
        <is>
          <t>0</t>
        </is>
      </c>
      <c r="K162" t="inlineStr">
        <is>
          <t>Frisch, Karl von, 1886-1982.</t>
        </is>
      </c>
      <c r="L162" t="inlineStr">
        <is>
          <t>Oxford ; New York : Pergamon, c1978.</t>
        </is>
      </c>
      <c r="M162" t="inlineStr">
        <is>
          <t>1978</t>
        </is>
      </c>
      <c r="N162" t="inlineStr">
        <is>
          <t>Enl. and rev. ed. of the popular book describing insects that live in our home.</t>
        </is>
      </c>
      <c r="O162" t="inlineStr">
        <is>
          <t>eng</t>
        </is>
      </c>
      <c r="P162" t="inlineStr">
        <is>
          <t>enk</t>
        </is>
      </c>
      <c r="Q162" t="inlineStr">
        <is>
          <t>Pergamon international library of science, technology, engineering, and social studies</t>
        </is>
      </c>
      <c r="R162" t="inlineStr">
        <is>
          <t xml:space="preserve">TX </t>
        </is>
      </c>
      <c r="S162" t="n">
        <v>5</v>
      </c>
      <c r="T162" t="n">
        <v>5</v>
      </c>
      <c r="U162" t="inlineStr">
        <is>
          <t>2000-02-16</t>
        </is>
      </c>
      <c r="V162" t="inlineStr">
        <is>
          <t>2000-02-16</t>
        </is>
      </c>
      <c r="W162" t="inlineStr">
        <is>
          <t>1993-08-03</t>
        </is>
      </c>
      <c r="X162" t="inlineStr">
        <is>
          <t>1993-08-03</t>
        </is>
      </c>
      <c r="Y162" t="n">
        <v>154</v>
      </c>
      <c r="Z162" t="n">
        <v>94</v>
      </c>
      <c r="AA162" t="n">
        <v>125</v>
      </c>
      <c r="AB162" t="n">
        <v>1</v>
      </c>
      <c r="AC162" t="n">
        <v>1</v>
      </c>
      <c r="AD162" t="n">
        <v>0</v>
      </c>
      <c r="AE162" t="n">
        <v>2</v>
      </c>
      <c r="AF162" t="n">
        <v>0</v>
      </c>
      <c r="AG162" t="n">
        <v>1</v>
      </c>
      <c r="AH162" t="n">
        <v>0</v>
      </c>
      <c r="AI162" t="n">
        <v>1</v>
      </c>
      <c r="AJ162" t="n">
        <v>0</v>
      </c>
      <c r="AK162" t="n">
        <v>0</v>
      </c>
      <c r="AL162" t="n">
        <v>0</v>
      </c>
      <c r="AM162" t="n">
        <v>0</v>
      </c>
      <c r="AN162" t="n">
        <v>0</v>
      </c>
      <c r="AO162" t="n">
        <v>0</v>
      </c>
      <c r="AP162" t="inlineStr">
        <is>
          <t>No</t>
        </is>
      </c>
      <c r="AQ162" t="inlineStr">
        <is>
          <t>Yes</t>
        </is>
      </c>
      <c r="AR162">
        <f>HYPERLINK("http://catalog.hathitrust.org/Record/009095126","HathiTrust Record")</f>
        <v/>
      </c>
      <c r="AS162">
        <f>HYPERLINK("https://creighton-primo.hosted.exlibrisgroup.com/primo-explore/search?tab=default_tab&amp;search_scope=EVERYTHING&amp;vid=01CRU&amp;lang=en_US&amp;offset=0&amp;query=any,contains,991004583389702656","Catalog Record")</f>
        <v/>
      </c>
      <c r="AT162">
        <f>HYPERLINK("http://www.worldcat.org/oclc/4076272","WorldCat Record")</f>
        <v/>
      </c>
      <c r="AU162" t="inlineStr">
        <is>
          <t>1150975316:eng</t>
        </is>
      </c>
      <c r="AV162" t="inlineStr">
        <is>
          <t>4076272</t>
        </is>
      </c>
      <c r="AW162" t="inlineStr">
        <is>
          <t>991004583389702656</t>
        </is>
      </c>
      <c r="AX162" t="inlineStr">
        <is>
          <t>991004583389702656</t>
        </is>
      </c>
      <c r="AY162" t="inlineStr">
        <is>
          <t>2262898240002656</t>
        </is>
      </c>
      <c r="AZ162" t="inlineStr">
        <is>
          <t>BOOK</t>
        </is>
      </c>
      <c r="BB162" t="inlineStr">
        <is>
          <t>9780080219592</t>
        </is>
      </c>
      <c r="BC162" t="inlineStr">
        <is>
          <t>32285001749026</t>
        </is>
      </c>
      <c r="BD162" t="inlineStr">
        <is>
          <t>893513425</t>
        </is>
      </c>
    </row>
    <row r="163">
      <c r="A163" t="inlineStr">
        <is>
          <t>No</t>
        </is>
      </c>
      <c r="B163" t="inlineStr">
        <is>
          <t>TX326 .M67 1989</t>
        </is>
      </c>
      <c r="C163" t="inlineStr">
        <is>
          <t>0                      TX 0326000M  67          1989</t>
        </is>
      </c>
      <c r="D163" t="inlineStr">
        <is>
          <t>Household finance management and the labour market / Lydia Morris with Sally Ruane.</t>
        </is>
      </c>
      <c r="F163" t="inlineStr">
        <is>
          <t>No</t>
        </is>
      </c>
      <c r="G163" t="inlineStr">
        <is>
          <t>1</t>
        </is>
      </c>
      <c r="H163" t="inlineStr">
        <is>
          <t>No</t>
        </is>
      </c>
      <c r="I163" t="inlineStr">
        <is>
          <t>No</t>
        </is>
      </c>
      <c r="J163" t="inlineStr">
        <is>
          <t>0</t>
        </is>
      </c>
      <c r="K163" t="inlineStr">
        <is>
          <t>Morris, Lydia, 1949-</t>
        </is>
      </c>
      <c r="L163" t="inlineStr">
        <is>
          <t>Aldershot ; Brookfield, Vermont : Avebury, c1989.</t>
        </is>
      </c>
      <c r="M163" t="inlineStr">
        <is>
          <t>1989</t>
        </is>
      </c>
      <c r="O163" t="inlineStr">
        <is>
          <t>eng</t>
        </is>
      </c>
      <c r="P163" t="inlineStr">
        <is>
          <t>enk</t>
        </is>
      </c>
      <c r="R163" t="inlineStr">
        <is>
          <t xml:space="preserve">TX </t>
        </is>
      </c>
      <c r="S163" t="n">
        <v>3</v>
      </c>
      <c r="T163" t="n">
        <v>3</v>
      </c>
      <c r="U163" t="inlineStr">
        <is>
          <t>1995-12-01</t>
        </is>
      </c>
      <c r="V163" t="inlineStr">
        <is>
          <t>1995-12-01</t>
        </is>
      </c>
      <c r="W163" t="inlineStr">
        <is>
          <t>1990-10-09</t>
        </is>
      </c>
      <c r="X163" t="inlineStr">
        <is>
          <t>1990-10-09</t>
        </is>
      </c>
      <c r="Y163" t="n">
        <v>91</v>
      </c>
      <c r="Z163" t="n">
        <v>40</v>
      </c>
      <c r="AA163" t="n">
        <v>41</v>
      </c>
      <c r="AB163" t="n">
        <v>1</v>
      </c>
      <c r="AC163" t="n">
        <v>1</v>
      </c>
      <c r="AD163" t="n">
        <v>1</v>
      </c>
      <c r="AE163" t="n">
        <v>1</v>
      </c>
      <c r="AF163" t="n">
        <v>1</v>
      </c>
      <c r="AG163" t="n">
        <v>1</v>
      </c>
      <c r="AH163" t="n">
        <v>0</v>
      </c>
      <c r="AI163" t="n">
        <v>0</v>
      </c>
      <c r="AJ163" t="n">
        <v>1</v>
      </c>
      <c r="AK163" t="n">
        <v>1</v>
      </c>
      <c r="AL163" t="n">
        <v>0</v>
      </c>
      <c r="AM163" t="n">
        <v>0</v>
      </c>
      <c r="AN163" t="n">
        <v>0</v>
      </c>
      <c r="AO163" t="n">
        <v>0</v>
      </c>
      <c r="AP163" t="inlineStr">
        <is>
          <t>No</t>
        </is>
      </c>
      <c r="AQ163" t="inlineStr">
        <is>
          <t>Yes</t>
        </is>
      </c>
      <c r="AR163">
        <f>HYPERLINK("http://catalog.hathitrust.org/Record/001549800","HathiTrust Record")</f>
        <v/>
      </c>
      <c r="AS163">
        <f>HYPERLINK("https://creighton-primo.hosted.exlibrisgroup.com/primo-explore/search?tab=default_tab&amp;search_scope=EVERYTHING&amp;vid=01CRU&amp;lang=en_US&amp;offset=0&amp;query=any,contains,991001399519702656","Catalog Record")</f>
        <v/>
      </c>
      <c r="AT163">
        <f>HYPERLINK("http://www.worldcat.org/oclc/27434075","WorldCat Record")</f>
        <v/>
      </c>
      <c r="AU163" t="inlineStr">
        <is>
          <t>30023460:eng</t>
        </is>
      </c>
      <c r="AV163" t="inlineStr">
        <is>
          <t>27434075</t>
        </is>
      </c>
      <c r="AW163" t="inlineStr">
        <is>
          <t>991001399519702656</t>
        </is>
      </c>
      <c r="AX163" t="inlineStr">
        <is>
          <t>991001399519702656</t>
        </is>
      </c>
      <c r="AY163" t="inlineStr">
        <is>
          <t>2265593800002656</t>
        </is>
      </c>
      <c r="AZ163" t="inlineStr">
        <is>
          <t>BOOK</t>
        </is>
      </c>
      <c r="BB163" t="inlineStr">
        <is>
          <t>9780566056918</t>
        </is>
      </c>
      <c r="BC163" t="inlineStr">
        <is>
          <t>32285000279900</t>
        </is>
      </c>
      <c r="BD163" t="inlineStr">
        <is>
          <t>893872515</t>
        </is>
      </c>
    </row>
    <row r="164">
      <c r="A164" t="inlineStr">
        <is>
          <t>No</t>
        </is>
      </c>
      <c r="B164" t="inlineStr">
        <is>
          <t>TX335 .B38</t>
        </is>
      </c>
      <c r="C164" t="inlineStr">
        <is>
          <t>0                      TX 0335000B  38</t>
        </is>
      </c>
      <c r="D164" t="inlineStr">
        <is>
          <t>The Battle of the household budget, by the editors of Dreyfus Publications. Illustrated by John Huehnergarth.</t>
        </is>
      </c>
      <c r="F164" t="inlineStr">
        <is>
          <t>No</t>
        </is>
      </c>
      <c r="G164" t="inlineStr">
        <is>
          <t>1</t>
        </is>
      </c>
      <c r="H164" t="inlineStr">
        <is>
          <t>No</t>
        </is>
      </c>
      <c r="I164" t="inlineStr">
        <is>
          <t>No</t>
        </is>
      </c>
      <c r="J164" t="inlineStr">
        <is>
          <t>0</t>
        </is>
      </c>
      <c r="L164" t="inlineStr">
        <is>
          <t>New York, Dreyfus Publications [1974]</t>
        </is>
      </c>
      <c r="M164" t="inlineStr">
        <is>
          <t>1974</t>
        </is>
      </c>
      <c r="O164" t="inlineStr">
        <is>
          <t>eng</t>
        </is>
      </c>
      <c r="P164" t="inlineStr">
        <is>
          <t>nyu</t>
        </is>
      </c>
      <c r="Q164" t="inlineStr">
        <is>
          <t>The Dreyfus family money management service</t>
        </is>
      </c>
      <c r="R164" t="inlineStr">
        <is>
          <t xml:space="preserve">TX </t>
        </is>
      </c>
      <c r="S164" t="n">
        <v>1</v>
      </c>
      <c r="T164" t="n">
        <v>1</v>
      </c>
      <c r="U164" t="inlineStr">
        <is>
          <t>2007-02-14</t>
        </is>
      </c>
      <c r="V164" t="inlineStr">
        <is>
          <t>2007-02-14</t>
        </is>
      </c>
      <c r="W164" t="inlineStr">
        <is>
          <t>1997-08-29</t>
        </is>
      </c>
      <c r="X164" t="inlineStr">
        <is>
          <t>1997-08-29</t>
        </is>
      </c>
      <c r="Y164" t="n">
        <v>26</v>
      </c>
      <c r="Z164" t="n">
        <v>26</v>
      </c>
      <c r="AA164" t="n">
        <v>26</v>
      </c>
      <c r="AB164" t="n">
        <v>1</v>
      </c>
      <c r="AC164" t="n">
        <v>1</v>
      </c>
      <c r="AD164" t="n">
        <v>0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0</v>
      </c>
      <c r="AK164" t="n">
        <v>0</v>
      </c>
      <c r="AL164" t="n">
        <v>0</v>
      </c>
      <c r="AM164" t="n">
        <v>0</v>
      </c>
      <c r="AN164" t="n">
        <v>0</v>
      </c>
      <c r="AO164" t="n">
        <v>0</v>
      </c>
      <c r="AP164" t="inlineStr">
        <is>
          <t>No</t>
        </is>
      </c>
      <c r="AQ164" t="inlineStr">
        <is>
          <t>No</t>
        </is>
      </c>
      <c r="AS164">
        <f>HYPERLINK("https://creighton-primo.hosted.exlibrisgroup.com/primo-explore/search?tab=default_tab&amp;search_scope=EVERYTHING&amp;vid=01CRU&amp;lang=en_US&amp;offset=0&amp;query=any,contains,991003448779702656","Catalog Record")</f>
        <v/>
      </c>
      <c r="AT164">
        <f>HYPERLINK("http://www.worldcat.org/oclc/984267","WorldCat Record")</f>
        <v/>
      </c>
      <c r="AU164" t="inlineStr">
        <is>
          <t>1953162:eng</t>
        </is>
      </c>
      <c r="AV164" t="inlineStr">
        <is>
          <t>984267</t>
        </is>
      </c>
      <c r="AW164" t="inlineStr">
        <is>
          <t>991003448779702656</t>
        </is>
      </c>
      <c r="AX164" t="inlineStr">
        <is>
          <t>991003448779702656</t>
        </is>
      </c>
      <c r="AY164" t="inlineStr">
        <is>
          <t>2272756510002656</t>
        </is>
      </c>
      <c r="AZ164" t="inlineStr">
        <is>
          <t>BOOK</t>
        </is>
      </c>
      <c r="BC164" t="inlineStr">
        <is>
          <t>32285003120200</t>
        </is>
      </c>
      <c r="BD164" t="inlineStr">
        <is>
          <t>893805785</t>
        </is>
      </c>
    </row>
    <row r="165">
      <c r="A165" t="inlineStr">
        <is>
          <t>No</t>
        </is>
      </c>
      <c r="B165" t="inlineStr">
        <is>
          <t>TX340 .M59</t>
        </is>
      </c>
      <c r="C165" t="inlineStr">
        <is>
          <t>0                      TX 0340000M  59</t>
        </is>
      </c>
      <c r="D165" t="inlineStr">
        <is>
          <t>The woman's dress for success book / John T. Molloy.</t>
        </is>
      </c>
      <c r="F165" t="inlineStr">
        <is>
          <t>No</t>
        </is>
      </c>
      <c r="G165" t="inlineStr">
        <is>
          <t>1</t>
        </is>
      </c>
      <c r="H165" t="inlineStr">
        <is>
          <t>No</t>
        </is>
      </c>
      <c r="I165" t="inlineStr">
        <is>
          <t>No</t>
        </is>
      </c>
      <c r="J165" t="inlineStr">
        <is>
          <t>0</t>
        </is>
      </c>
      <c r="K165" t="inlineStr">
        <is>
          <t>Molloy, John T.</t>
        </is>
      </c>
      <c r="L165" t="inlineStr">
        <is>
          <t>Chicago : Follett Pub. Co., c1977.</t>
        </is>
      </c>
      <c r="M165" t="inlineStr">
        <is>
          <t>1977</t>
        </is>
      </c>
      <c r="O165" t="inlineStr">
        <is>
          <t>eng</t>
        </is>
      </c>
      <c r="P165" t="inlineStr">
        <is>
          <t>ilu</t>
        </is>
      </c>
      <c r="R165" t="inlineStr">
        <is>
          <t xml:space="preserve">TX </t>
        </is>
      </c>
      <c r="S165" t="n">
        <v>16</v>
      </c>
      <c r="T165" t="n">
        <v>16</v>
      </c>
      <c r="U165" t="inlineStr">
        <is>
          <t>2010-11-16</t>
        </is>
      </c>
      <c r="V165" t="inlineStr">
        <is>
          <t>2010-11-16</t>
        </is>
      </c>
      <c r="W165" t="inlineStr">
        <is>
          <t>1991-11-08</t>
        </is>
      </c>
      <c r="X165" t="inlineStr">
        <is>
          <t>1991-11-08</t>
        </is>
      </c>
      <c r="Y165" t="n">
        <v>878</v>
      </c>
      <c r="Z165" t="n">
        <v>848</v>
      </c>
      <c r="AA165" t="n">
        <v>1144</v>
      </c>
      <c r="AB165" t="n">
        <v>17</v>
      </c>
      <c r="AC165" t="n">
        <v>24</v>
      </c>
      <c r="AD165" t="n">
        <v>19</v>
      </c>
      <c r="AE165" t="n">
        <v>25</v>
      </c>
      <c r="AF165" t="n">
        <v>6</v>
      </c>
      <c r="AG165" t="n">
        <v>8</v>
      </c>
      <c r="AH165" t="n">
        <v>2</v>
      </c>
      <c r="AI165" t="n">
        <v>2</v>
      </c>
      <c r="AJ165" t="n">
        <v>6</v>
      </c>
      <c r="AK165" t="n">
        <v>8</v>
      </c>
      <c r="AL165" t="n">
        <v>6</v>
      </c>
      <c r="AM165" t="n">
        <v>8</v>
      </c>
      <c r="AN165" t="n">
        <v>1</v>
      </c>
      <c r="AO165" t="n">
        <v>2</v>
      </c>
      <c r="AP165" t="inlineStr">
        <is>
          <t>No</t>
        </is>
      </c>
      <c r="AQ165" t="inlineStr">
        <is>
          <t>Yes</t>
        </is>
      </c>
      <c r="AR165">
        <f>HYPERLINK("http://catalog.hathitrust.org/Record/000750356","HathiTrust Record")</f>
        <v/>
      </c>
      <c r="AS165">
        <f>HYPERLINK("https://creighton-primo.hosted.exlibrisgroup.com/primo-explore/search?tab=default_tab&amp;search_scope=EVERYTHING&amp;vid=01CRU&amp;lang=en_US&amp;offset=0&amp;query=any,contains,991004416459702656","Catalog Record")</f>
        <v/>
      </c>
      <c r="AT165">
        <f>HYPERLINK("http://www.worldcat.org/oclc/3363753","WorldCat Record")</f>
        <v/>
      </c>
      <c r="AU165" t="inlineStr">
        <is>
          <t>442957:eng</t>
        </is>
      </c>
      <c r="AV165" t="inlineStr">
        <is>
          <t>3363753</t>
        </is>
      </c>
      <c r="AW165" t="inlineStr">
        <is>
          <t>991004416459702656</t>
        </is>
      </c>
      <c r="AX165" t="inlineStr">
        <is>
          <t>991004416459702656</t>
        </is>
      </c>
      <c r="AY165" t="inlineStr">
        <is>
          <t>2259042850002656</t>
        </is>
      </c>
      <c r="AZ165" t="inlineStr">
        <is>
          <t>BOOK</t>
        </is>
      </c>
      <c r="BB165" t="inlineStr">
        <is>
          <t>9780695808105</t>
        </is>
      </c>
      <c r="BC165" t="inlineStr">
        <is>
          <t>32285000796846</t>
        </is>
      </c>
      <c r="BD165" t="inlineStr">
        <is>
          <t>893612322</t>
        </is>
      </c>
    </row>
    <row r="166">
      <c r="A166" t="inlineStr">
        <is>
          <t>No</t>
        </is>
      </c>
      <c r="B166" t="inlineStr">
        <is>
          <t>TX340 .R313</t>
        </is>
      </c>
      <c r="C166" t="inlineStr">
        <is>
          <t>0                      TX 0340000R  313</t>
        </is>
      </c>
      <c r="D166" t="inlineStr">
        <is>
          <t>Fashions and fabrics : a guide to clothing selection and good grooming, with a special section on household fabrics / Lucy Rathbone ... [et.al.] Editorial advisor: Lela O'Toole.</t>
        </is>
      </c>
      <c r="F166" t="inlineStr">
        <is>
          <t>No</t>
        </is>
      </c>
      <c r="G166" t="inlineStr">
        <is>
          <t>1</t>
        </is>
      </c>
      <c r="H166" t="inlineStr">
        <is>
          <t>No</t>
        </is>
      </c>
      <c r="I166" t="inlineStr">
        <is>
          <t>No</t>
        </is>
      </c>
      <c r="J166" t="inlineStr">
        <is>
          <t>0</t>
        </is>
      </c>
      <c r="K166" t="inlineStr">
        <is>
          <t>Rathbone, Lucy.</t>
        </is>
      </c>
      <c r="L166" t="inlineStr">
        <is>
          <t>New York : Houghton Mifflin, c1962.</t>
        </is>
      </c>
      <c r="M166" t="inlineStr">
        <is>
          <t>1962</t>
        </is>
      </c>
      <c r="O166" t="inlineStr">
        <is>
          <t>eng</t>
        </is>
      </c>
      <c r="P166" t="inlineStr">
        <is>
          <t xml:space="preserve">xx </t>
        </is>
      </c>
      <c r="Q166" t="inlineStr">
        <is>
          <t>Riverside home economics series</t>
        </is>
      </c>
      <c r="R166" t="inlineStr">
        <is>
          <t xml:space="preserve">TX </t>
        </is>
      </c>
      <c r="S166" t="n">
        <v>2</v>
      </c>
      <c r="T166" t="n">
        <v>2</v>
      </c>
      <c r="U166" t="inlineStr">
        <is>
          <t>1995-03-15</t>
        </is>
      </c>
      <c r="V166" t="inlineStr">
        <is>
          <t>1995-03-15</t>
        </is>
      </c>
      <c r="W166" t="inlineStr">
        <is>
          <t>1991-11-08</t>
        </is>
      </c>
      <c r="X166" t="inlineStr">
        <is>
          <t>1991-11-08</t>
        </is>
      </c>
      <c r="Y166" t="n">
        <v>81</v>
      </c>
      <c r="Z166" t="n">
        <v>75</v>
      </c>
      <c r="AA166" t="n">
        <v>80</v>
      </c>
      <c r="AB166" t="n">
        <v>2</v>
      </c>
      <c r="AC166" t="n">
        <v>2</v>
      </c>
      <c r="AD166" t="n">
        <v>2</v>
      </c>
      <c r="AE166" t="n">
        <v>2</v>
      </c>
      <c r="AF166" t="n">
        <v>0</v>
      </c>
      <c r="AG166" t="n">
        <v>0</v>
      </c>
      <c r="AH166" t="n">
        <v>0</v>
      </c>
      <c r="AI166" t="n">
        <v>0</v>
      </c>
      <c r="AJ166" t="n">
        <v>1</v>
      </c>
      <c r="AK166" t="n">
        <v>1</v>
      </c>
      <c r="AL166" t="n">
        <v>1</v>
      </c>
      <c r="AM166" t="n">
        <v>1</v>
      </c>
      <c r="AN166" t="n">
        <v>0</v>
      </c>
      <c r="AO166" t="n">
        <v>0</v>
      </c>
      <c r="AP166" t="inlineStr">
        <is>
          <t>No</t>
        </is>
      </c>
      <c r="AQ166" t="inlineStr">
        <is>
          <t>No</t>
        </is>
      </c>
      <c r="AR166">
        <f>HYPERLINK("http://catalog.hathitrust.org/Record/009058281","HathiTrust Record")</f>
        <v/>
      </c>
      <c r="AS166">
        <f>HYPERLINK("https://creighton-primo.hosted.exlibrisgroup.com/primo-explore/search?tab=default_tab&amp;search_scope=EVERYTHING&amp;vid=01CRU&amp;lang=en_US&amp;offset=0&amp;query=any,contains,991003983439702656","Catalog Record")</f>
        <v/>
      </c>
      <c r="AT166">
        <f>HYPERLINK("http://www.worldcat.org/oclc/2022690","WorldCat Record")</f>
        <v/>
      </c>
      <c r="AU166" t="inlineStr">
        <is>
          <t>908019778:eng</t>
        </is>
      </c>
      <c r="AV166" t="inlineStr">
        <is>
          <t>2022690</t>
        </is>
      </c>
      <c r="AW166" t="inlineStr">
        <is>
          <t>991003983439702656</t>
        </is>
      </c>
      <c r="AX166" t="inlineStr">
        <is>
          <t>991003983439702656</t>
        </is>
      </c>
      <c r="AY166" t="inlineStr">
        <is>
          <t>2265599290002656</t>
        </is>
      </c>
      <c r="AZ166" t="inlineStr">
        <is>
          <t>BOOK</t>
        </is>
      </c>
      <c r="BC166" t="inlineStr">
        <is>
          <t>32285000796838</t>
        </is>
      </c>
      <c r="BD166" t="inlineStr">
        <is>
          <t>893512648</t>
        </is>
      </c>
    </row>
    <row r="167">
      <c r="A167" t="inlineStr">
        <is>
          <t>No</t>
        </is>
      </c>
      <c r="B167" t="inlineStr">
        <is>
          <t>TX345 .N35 1977</t>
        </is>
      </c>
      <c r="C167" t="inlineStr">
        <is>
          <t>0                      TX 0345000N  35          1977</t>
        </is>
      </c>
      <c r="D167" t="inlineStr">
        <is>
          <t>World food and nutrition study : the potential contributions of research / prepared by the Steering Committee, NRC Study on World Food and Nutrition of the Commission on International Relations, National Research Council.</t>
        </is>
      </c>
      <c r="F167" t="inlineStr">
        <is>
          <t>No</t>
        </is>
      </c>
      <c r="G167" t="inlineStr">
        <is>
          <t>1</t>
        </is>
      </c>
      <c r="H167" t="inlineStr">
        <is>
          <t>No</t>
        </is>
      </c>
      <c r="I167" t="inlineStr">
        <is>
          <t>No</t>
        </is>
      </c>
      <c r="J167" t="inlineStr">
        <is>
          <t>0</t>
        </is>
      </c>
      <c r="K167" t="inlineStr">
        <is>
          <t>National Research Council (U.S.). World Food and Nutrition Study Steering Committee.</t>
        </is>
      </c>
      <c r="L167" t="inlineStr">
        <is>
          <t>Washington : National Academy of Sciences, 1977.</t>
        </is>
      </c>
      <c r="M167" t="inlineStr">
        <is>
          <t>1977</t>
        </is>
      </c>
      <c r="O167" t="inlineStr">
        <is>
          <t>eng</t>
        </is>
      </c>
      <c r="P167" t="inlineStr">
        <is>
          <t>dcu</t>
        </is>
      </c>
      <c r="R167" t="inlineStr">
        <is>
          <t xml:space="preserve">TX </t>
        </is>
      </c>
      <c r="S167" t="n">
        <v>3</v>
      </c>
      <c r="T167" t="n">
        <v>3</v>
      </c>
      <c r="U167" t="inlineStr">
        <is>
          <t>2003-01-24</t>
        </is>
      </c>
      <c r="V167" t="inlineStr">
        <is>
          <t>2003-01-24</t>
        </is>
      </c>
      <c r="W167" t="inlineStr">
        <is>
          <t>1997-08-29</t>
        </is>
      </c>
      <c r="X167" t="inlineStr">
        <is>
          <t>1997-08-29</t>
        </is>
      </c>
      <c r="Y167" t="n">
        <v>390</v>
      </c>
      <c r="Z167" t="n">
        <v>324</v>
      </c>
      <c r="AA167" t="n">
        <v>329</v>
      </c>
      <c r="AB167" t="n">
        <v>3</v>
      </c>
      <c r="AC167" t="n">
        <v>3</v>
      </c>
      <c r="AD167" t="n">
        <v>16</v>
      </c>
      <c r="AE167" t="n">
        <v>16</v>
      </c>
      <c r="AF167" t="n">
        <v>4</v>
      </c>
      <c r="AG167" t="n">
        <v>4</v>
      </c>
      <c r="AH167" t="n">
        <v>5</v>
      </c>
      <c r="AI167" t="n">
        <v>5</v>
      </c>
      <c r="AJ167" t="n">
        <v>8</v>
      </c>
      <c r="AK167" t="n">
        <v>8</v>
      </c>
      <c r="AL167" t="n">
        <v>2</v>
      </c>
      <c r="AM167" t="n">
        <v>2</v>
      </c>
      <c r="AN167" t="n">
        <v>0</v>
      </c>
      <c r="AO167" t="n">
        <v>0</v>
      </c>
      <c r="AP167" t="inlineStr">
        <is>
          <t>No</t>
        </is>
      </c>
      <c r="AQ167" t="inlineStr">
        <is>
          <t>Yes</t>
        </is>
      </c>
      <c r="AR167">
        <f>HYPERLINK("http://catalog.hathitrust.org/Record/000294574","HathiTrust Record")</f>
        <v/>
      </c>
      <c r="AS167">
        <f>HYPERLINK("https://creighton-primo.hosted.exlibrisgroup.com/primo-explore/search?tab=default_tab&amp;search_scope=EVERYTHING&amp;vid=01CRU&amp;lang=en_US&amp;offset=0&amp;query=any,contains,991004337839702656","Catalog Record")</f>
        <v/>
      </c>
      <c r="AT167">
        <f>HYPERLINK("http://www.worldcat.org/oclc/3079252","WorldCat Record")</f>
        <v/>
      </c>
      <c r="AU167" t="inlineStr">
        <is>
          <t>819994888:eng</t>
        </is>
      </c>
      <c r="AV167" t="inlineStr">
        <is>
          <t>3079252</t>
        </is>
      </c>
      <c r="AW167" t="inlineStr">
        <is>
          <t>991004337839702656</t>
        </is>
      </c>
      <c r="AX167" t="inlineStr">
        <is>
          <t>991004337839702656</t>
        </is>
      </c>
      <c r="AY167" t="inlineStr">
        <is>
          <t>2270961490002656</t>
        </is>
      </c>
      <c r="AZ167" t="inlineStr">
        <is>
          <t>BOOK</t>
        </is>
      </c>
      <c r="BB167" t="inlineStr">
        <is>
          <t>9780309026284</t>
        </is>
      </c>
      <c r="BC167" t="inlineStr">
        <is>
          <t>32285003120291</t>
        </is>
      </c>
      <c r="BD167" t="inlineStr">
        <is>
          <t>893525974</t>
        </is>
      </c>
    </row>
    <row r="168">
      <c r="A168" t="inlineStr">
        <is>
          <t>No</t>
        </is>
      </c>
      <c r="B168" t="inlineStr">
        <is>
          <t>TX349 .G54 1997</t>
        </is>
      </c>
      <c r="C168" t="inlineStr">
        <is>
          <t>0                      TX 0349000G  54          1997</t>
        </is>
      </c>
      <c r="D168" t="inlineStr">
        <is>
          <t>El libro de las técnicas de cocina / [Ma. Jesús Gil de Antuñano, texto ; Carmen Suárez, texto y coordinación ; Anel Fernández, fotografía ; Carmen G. Barragán y Victor Garcia, edición de textos].</t>
        </is>
      </c>
      <c r="F168" t="inlineStr">
        <is>
          <t>No</t>
        </is>
      </c>
      <c r="G168" t="inlineStr">
        <is>
          <t>1</t>
        </is>
      </c>
      <c r="H168" t="inlineStr">
        <is>
          <t>No</t>
        </is>
      </c>
      <c r="I168" t="inlineStr">
        <is>
          <t>No</t>
        </is>
      </c>
      <c r="J168" t="inlineStr">
        <is>
          <t>0</t>
        </is>
      </c>
      <c r="K168" t="inlineStr">
        <is>
          <t>Gil de Antuñano, María Jesús.</t>
        </is>
      </c>
      <c r="L168" t="inlineStr">
        <is>
          <t>Madrid : El País/Aguilar, c1997.</t>
        </is>
      </c>
      <c r="M168" t="inlineStr">
        <is>
          <t>1997</t>
        </is>
      </c>
      <c r="O168" t="inlineStr">
        <is>
          <t>spa</t>
        </is>
      </c>
      <c r="P168" t="inlineStr">
        <is>
          <t xml:space="preserve">sp </t>
        </is>
      </c>
      <c r="R168" t="inlineStr">
        <is>
          <t xml:space="preserve">TX </t>
        </is>
      </c>
      <c r="S168" t="n">
        <v>7</v>
      </c>
      <c r="T168" t="n">
        <v>7</v>
      </c>
      <c r="U168" t="inlineStr">
        <is>
          <t>2000-11-20</t>
        </is>
      </c>
      <c r="V168" t="inlineStr">
        <is>
          <t>2000-11-20</t>
        </is>
      </c>
      <c r="W168" t="inlineStr">
        <is>
          <t>1998-05-13</t>
        </is>
      </c>
      <c r="X168" t="inlineStr">
        <is>
          <t>1998-05-13</t>
        </is>
      </c>
      <c r="Y168" t="n">
        <v>69</v>
      </c>
      <c r="Z168" t="n">
        <v>52</v>
      </c>
      <c r="AA168" t="n">
        <v>53</v>
      </c>
      <c r="AB168" t="n">
        <v>2</v>
      </c>
      <c r="AC168" t="n">
        <v>2</v>
      </c>
      <c r="AD168" t="n">
        <v>4</v>
      </c>
      <c r="AE168" t="n">
        <v>4</v>
      </c>
      <c r="AF168" t="n">
        <v>2</v>
      </c>
      <c r="AG168" t="n">
        <v>2</v>
      </c>
      <c r="AH168" t="n">
        <v>0</v>
      </c>
      <c r="AI168" t="n">
        <v>0</v>
      </c>
      <c r="AJ168" t="n">
        <v>2</v>
      </c>
      <c r="AK168" t="n">
        <v>2</v>
      </c>
      <c r="AL168" t="n">
        <v>1</v>
      </c>
      <c r="AM168" t="n">
        <v>1</v>
      </c>
      <c r="AN168" t="n">
        <v>0</v>
      </c>
      <c r="AO168" t="n">
        <v>0</v>
      </c>
      <c r="AP168" t="inlineStr">
        <is>
          <t>No</t>
        </is>
      </c>
      <c r="AQ168" t="inlineStr">
        <is>
          <t>Yes</t>
        </is>
      </c>
      <c r="AR168">
        <f>HYPERLINK("http://catalog.hathitrust.org/Record/008308748","HathiTrust Record")</f>
        <v/>
      </c>
      <c r="AS168">
        <f>HYPERLINK("https://creighton-primo.hosted.exlibrisgroup.com/primo-explore/search?tab=default_tab&amp;search_scope=EVERYTHING&amp;vid=01CRU&amp;lang=en_US&amp;offset=0&amp;query=any,contains,991002937279702656","Catalog Record")</f>
        <v/>
      </c>
      <c r="AT168">
        <f>HYPERLINK("http://www.worldcat.org/oclc/39069597","WorldCat Record")</f>
        <v/>
      </c>
      <c r="AU168" t="inlineStr">
        <is>
          <t>41913352:spa</t>
        </is>
      </c>
      <c r="AV168" t="inlineStr">
        <is>
          <t>39069597</t>
        </is>
      </c>
      <c r="AW168" t="inlineStr">
        <is>
          <t>991002937279702656</t>
        </is>
      </c>
      <c r="AX168" t="inlineStr">
        <is>
          <t>991002937279702656</t>
        </is>
      </c>
      <c r="AY168" t="inlineStr">
        <is>
          <t>2261848070002656</t>
        </is>
      </c>
      <c r="AZ168" t="inlineStr">
        <is>
          <t>BOOK</t>
        </is>
      </c>
      <c r="BC168" t="inlineStr">
        <is>
          <t>32285003408829</t>
        </is>
      </c>
      <c r="BD168" t="inlineStr">
        <is>
          <t>893409734</t>
        </is>
      </c>
    </row>
    <row r="169">
      <c r="A169" t="inlineStr">
        <is>
          <t>No</t>
        </is>
      </c>
      <c r="B169" t="inlineStr">
        <is>
          <t>TX349 .M613 1988</t>
        </is>
      </c>
      <c r="C169" t="inlineStr">
        <is>
          <t>0                      TX 0349000M  613         1988</t>
        </is>
      </c>
      <c r="D169" t="inlineStr">
        <is>
          <t>Larousse gastronomique : the new American edition of the world's greatest culinary encyclopedia / edited by Jenifer Harvey Lang.</t>
        </is>
      </c>
      <c r="F169" t="inlineStr">
        <is>
          <t>No</t>
        </is>
      </c>
      <c r="G169" t="inlineStr">
        <is>
          <t>1</t>
        </is>
      </c>
      <c r="H169" t="inlineStr">
        <is>
          <t>No</t>
        </is>
      </c>
      <c r="I169" t="inlineStr">
        <is>
          <t>No</t>
        </is>
      </c>
      <c r="J169" t="inlineStr">
        <is>
          <t>0</t>
        </is>
      </c>
      <c r="K169" t="inlineStr">
        <is>
          <t>Montagné, Prosper, 1864-1948.</t>
        </is>
      </c>
      <c r="L169" t="inlineStr">
        <is>
          <t>New York : Crown Publishers, 1988.</t>
        </is>
      </c>
      <c r="M169" t="inlineStr">
        <is>
          <t>1988</t>
        </is>
      </c>
      <c r="O169" t="inlineStr">
        <is>
          <t>eng</t>
        </is>
      </c>
      <c r="P169" t="inlineStr">
        <is>
          <t>nyu</t>
        </is>
      </c>
      <c r="R169" t="inlineStr">
        <is>
          <t xml:space="preserve">TX </t>
        </is>
      </c>
      <c r="S169" t="n">
        <v>11</v>
      </c>
      <c r="T169" t="n">
        <v>11</v>
      </c>
      <c r="U169" t="inlineStr">
        <is>
          <t>2007-01-17</t>
        </is>
      </c>
      <c r="V169" t="inlineStr">
        <is>
          <t>2007-01-17</t>
        </is>
      </c>
      <c r="W169" t="inlineStr">
        <is>
          <t>1990-11-26</t>
        </is>
      </c>
      <c r="X169" t="inlineStr">
        <is>
          <t>1990-11-26</t>
        </is>
      </c>
      <c r="Y169" t="n">
        <v>650</v>
      </c>
      <c r="Z169" t="n">
        <v>620</v>
      </c>
      <c r="AA169" t="n">
        <v>652</v>
      </c>
      <c r="AB169" t="n">
        <v>3</v>
      </c>
      <c r="AC169" t="n">
        <v>3</v>
      </c>
      <c r="AD169" t="n">
        <v>5</v>
      </c>
      <c r="AE169" t="n">
        <v>5</v>
      </c>
      <c r="AF169" t="n">
        <v>3</v>
      </c>
      <c r="AG169" t="n">
        <v>3</v>
      </c>
      <c r="AH169" t="n">
        <v>1</v>
      </c>
      <c r="AI169" t="n">
        <v>1</v>
      </c>
      <c r="AJ169" t="n">
        <v>2</v>
      </c>
      <c r="AK169" t="n">
        <v>2</v>
      </c>
      <c r="AL169" t="n">
        <v>0</v>
      </c>
      <c r="AM169" t="n">
        <v>0</v>
      </c>
      <c r="AN169" t="n">
        <v>0</v>
      </c>
      <c r="AO169" t="n">
        <v>0</v>
      </c>
      <c r="AP169" t="inlineStr">
        <is>
          <t>No</t>
        </is>
      </c>
      <c r="AQ169" t="inlineStr">
        <is>
          <t>No</t>
        </is>
      </c>
      <c r="AS169">
        <f>HYPERLINK("https://creighton-primo.hosted.exlibrisgroup.com/primo-explore/search?tab=default_tab&amp;search_scope=EVERYTHING&amp;vid=01CRU&amp;lang=en_US&amp;offset=0&amp;query=any,contains,991001221609702656","Catalog Record")</f>
        <v/>
      </c>
      <c r="AT169">
        <f>HYPERLINK("http://www.worldcat.org/oclc/17478288","WorldCat Record")</f>
        <v/>
      </c>
      <c r="AU169" t="inlineStr">
        <is>
          <t>4922002170:eng</t>
        </is>
      </c>
      <c r="AV169" t="inlineStr">
        <is>
          <t>17478288</t>
        </is>
      </c>
      <c r="AW169" t="inlineStr">
        <is>
          <t>991001221609702656</t>
        </is>
      </c>
      <c r="AX169" t="inlineStr">
        <is>
          <t>991001221609702656</t>
        </is>
      </c>
      <c r="AY169" t="inlineStr">
        <is>
          <t>2270206270002656</t>
        </is>
      </c>
      <c r="AZ169" t="inlineStr">
        <is>
          <t>BOOK</t>
        </is>
      </c>
      <c r="BB169" t="inlineStr">
        <is>
          <t>9780517570326</t>
        </is>
      </c>
      <c r="BC169" t="inlineStr">
        <is>
          <t>32285000356849</t>
        </is>
      </c>
      <c r="BD169" t="inlineStr">
        <is>
          <t>893340254</t>
        </is>
      </c>
    </row>
    <row r="170">
      <c r="A170" t="inlineStr">
        <is>
          <t>No</t>
        </is>
      </c>
      <c r="B170" t="inlineStr">
        <is>
          <t>TX353 .B62</t>
        </is>
      </c>
      <c r="C170" t="inlineStr">
        <is>
          <t>0                      TX 0353000B  62</t>
        </is>
      </c>
      <c r="D170" t="inlineStr">
        <is>
          <t>Future food and agriculture policy : a program for the next ten years / by John Donald Black and Maxine Enlow Kiefer.</t>
        </is>
      </c>
      <c r="F170" t="inlineStr">
        <is>
          <t>No</t>
        </is>
      </c>
      <c r="G170" t="inlineStr">
        <is>
          <t>1</t>
        </is>
      </c>
      <c r="H170" t="inlineStr">
        <is>
          <t>No</t>
        </is>
      </c>
      <c r="I170" t="inlineStr">
        <is>
          <t>No</t>
        </is>
      </c>
      <c r="J170" t="inlineStr">
        <is>
          <t>0</t>
        </is>
      </c>
      <c r="K170" t="inlineStr">
        <is>
          <t>Black, John D. (John Donald), 1883-1960.</t>
        </is>
      </c>
      <c r="L170" t="inlineStr">
        <is>
          <t>New York : McGraw-Hill Book Co., 1948.</t>
        </is>
      </c>
      <c r="M170" t="inlineStr">
        <is>
          <t>1948</t>
        </is>
      </c>
      <c r="N170" t="inlineStr">
        <is>
          <t>1st ed.</t>
        </is>
      </c>
      <c r="O170" t="inlineStr">
        <is>
          <t>eng</t>
        </is>
      </c>
      <c r="P170" t="inlineStr">
        <is>
          <t>nyu</t>
        </is>
      </c>
      <c r="R170" t="inlineStr">
        <is>
          <t xml:space="preserve">TX </t>
        </is>
      </c>
      <c r="S170" t="n">
        <v>3</v>
      </c>
      <c r="T170" t="n">
        <v>3</v>
      </c>
      <c r="U170" t="inlineStr">
        <is>
          <t>2000-04-25</t>
        </is>
      </c>
      <c r="V170" t="inlineStr">
        <is>
          <t>2000-04-25</t>
        </is>
      </c>
      <c r="W170" t="inlineStr">
        <is>
          <t>1994-05-04</t>
        </is>
      </c>
      <c r="X170" t="inlineStr">
        <is>
          <t>1994-05-04</t>
        </is>
      </c>
      <c r="Y170" t="n">
        <v>251</v>
      </c>
      <c r="Z170" t="n">
        <v>191</v>
      </c>
      <c r="AA170" t="n">
        <v>200</v>
      </c>
      <c r="AB170" t="n">
        <v>2</v>
      </c>
      <c r="AC170" t="n">
        <v>2</v>
      </c>
      <c r="AD170" t="n">
        <v>5</v>
      </c>
      <c r="AE170" t="n">
        <v>5</v>
      </c>
      <c r="AF170" t="n">
        <v>1</v>
      </c>
      <c r="AG170" t="n">
        <v>1</v>
      </c>
      <c r="AH170" t="n">
        <v>1</v>
      </c>
      <c r="AI170" t="n">
        <v>1</v>
      </c>
      <c r="AJ170" t="n">
        <v>3</v>
      </c>
      <c r="AK170" t="n">
        <v>3</v>
      </c>
      <c r="AL170" t="n">
        <v>1</v>
      </c>
      <c r="AM170" t="n">
        <v>1</v>
      </c>
      <c r="AN170" t="n">
        <v>0</v>
      </c>
      <c r="AO170" t="n">
        <v>0</v>
      </c>
      <c r="AP170" t="inlineStr">
        <is>
          <t>Yes</t>
        </is>
      </c>
      <c r="AQ170" t="inlineStr">
        <is>
          <t>No</t>
        </is>
      </c>
      <c r="AR170">
        <f>HYPERLINK("http://catalog.hathitrust.org/Record/001046307","HathiTrust Record")</f>
        <v/>
      </c>
      <c r="AS170">
        <f>HYPERLINK("https://creighton-primo.hosted.exlibrisgroup.com/primo-explore/search?tab=default_tab&amp;search_scope=EVERYTHING&amp;vid=01CRU&amp;lang=en_US&amp;offset=0&amp;query=any,contains,991003676799702656","Catalog Record")</f>
        <v/>
      </c>
      <c r="AT170">
        <f>HYPERLINK("http://www.worldcat.org/oclc/1298910","WorldCat Record")</f>
        <v/>
      </c>
      <c r="AU170" t="inlineStr">
        <is>
          <t>2239576:eng</t>
        </is>
      </c>
      <c r="AV170" t="inlineStr">
        <is>
          <t>1298910</t>
        </is>
      </c>
      <c r="AW170" t="inlineStr">
        <is>
          <t>991003676799702656</t>
        </is>
      </c>
      <c r="AX170" t="inlineStr">
        <is>
          <t>991003676799702656</t>
        </is>
      </c>
      <c r="AY170" t="inlineStr">
        <is>
          <t>2263985330002656</t>
        </is>
      </c>
      <c r="AZ170" t="inlineStr">
        <is>
          <t>BOOK</t>
        </is>
      </c>
      <c r="BC170" t="inlineStr">
        <is>
          <t>32285001906931</t>
        </is>
      </c>
      <c r="BD170" t="inlineStr">
        <is>
          <t>893617598</t>
        </is>
      </c>
    </row>
    <row r="171">
      <c r="A171" t="inlineStr">
        <is>
          <t>No</t>
        </is>
      </c>
      <c r="B171" t="inlineStr">
        <is>
          <t>TX353 .B76 1981</t>
        </is>
      </c>
      <c r="C171" t="inlineStr">
        <is>
          <t>0                      TX 0353000B  76          1981</t>
        </is>
      </c>
      <c r="D171" t="inlineStr">
        <is>
          <t>Jane Brody's Nutrition book : a lifetime guide to good eating for better health and weight control / by the personal health columnist of the New York times.</t>
        </is>
      </c>
      <c r="F171" t="inlineStr">
        <is>
          <t>No</t>
        </is>
      </c>
      <c r="G171" t="inlineStr">
        <is>
          <t>1</t>
        </is>
      </c>
      <c r="H171" t="inlineStr">
        <is>
          <t>No</t>
        </is>
      </c>
      <c r="I171" t="inlineStr">
        <is>
          <t>No</t>
        </is>
      </c>
      <c r="J171" t="inlineStr">
        <is>
          <t>0</t>
        </is>
      </c>
      <c r="K171" t="inlineStr">
        <is>
          <t>Brody, Jane E.</t>
        </is>
      </c>
      <c r="L171" t="inlineStr">
        <is>
          <t>New York : Norton, c1981.</t>
        </is>
      </c>
      <c r="M171" t="inlineStr">
        <is>
          <t>1981</t>
        </is>
      </c>
      <c r="N171" t="inlineStr">
        <is>
          <t>1st ed.</t>
        </is>
      </c>
      <c r="O171" t="inlineStr">
        <is>
          <t>eng</t>
        </is>
      </c>
      <c r="P171" t="inlineStr">
        <is>
          <t>nyu</t>
        </is>
      </c>
      <c r="R171" t="inlineStr">
        <is>
          <t xml:space="preserve">TX </t>
        </is>
      </c>
      <c r="S171" t="n">
        <v>18</v>
      </c>
      <c r="T171" t="n">
        <v>18</v>
      </c>
      <c r="U171" t="inlineStr">
        <is>
          <t>1998-04-15</t>
        </is>
      </c>
      <c r="V171" t="inlineStr">
        <is>
          <t>1998-04-15</t>
        </is>
      </c>
      <c r="W171" t="inlineStr">
        <is>
          <t>1990-02-07</t>
        </is>
      </c>
      <c r="X171" t="inlineStr">
        <is>
          <t>1990-02-07</t>
        </is>
      </c>
      <c r="Y171" t="n">
        <v>1195</v>
      </c>
      <c r="Z171" t="n">
        <v>1144</v>
      </c>
      <c r="AA171" t="n">
        <v>1481</v>
      </c>
      <c r="AB171" t="n">
        <v>8</v>
      </c>
      <c r="AC171" t="n">
        <v>9</v>
      </c>
      <c r="AD171" t="n">
        <v>17</v>
      </c>
      <c r="AE171" t="n">
        <v>24</v>
      </c>
      <c r="AF171" t="n">
        <v>9</v>
      </c>
      <c r="AG171" t="n">
        <v>12</v>
      </c>
      <c r="AH171" t="n">
        <v>1</v>
      </c>
      <c r="AI171" t="n">
        <v>3</v>
      </c>
      <c r="AJ171" t="n">
        <v>7</v>
      </c>
      <c r="AK171" t="n">
        <v>8</v>
      </c>
      <c r="AL171" t="n">
        <v>2</v>
      </c>
      <c r="AM171" t="n">
        <v>3</v>
      </c>
      <c r="AN171" t="n">
        <v>1</v>
      </c>
      <c r="AO171" t="n">
        <v>1</v>
      </c>
      <c r="AP171" t="inlineStr">
        <is>
          <t>No</t>
        </is>
      </c>
      <c r="AQ171" t="inlineStr">
        <is>
          <t>No</t>
        </is>
      </c>
      <c r="AS171">
        <f>HYPERLINK("https://creighton-primo.hosted.exlibrisgroup.com/primo-explore/search?tab=default_tab&amp;search_scope=EVERYTHING&amp;vid=01CRU&amp;lang=en_US&amp;offset=0&amp;query=any,contains,991005053279702656","Catalog Record")</f>
        <v/>
      </c>
      <c r="AT171">
        <f>HYPERLINK("http://www.worldcat.org/oclc/6889115","WorldCat Record")</f>
        <v/>
      </c>
      <c r="AU171" t="inlineStr">
        <is>
          <t>8739230:eng</t>
        </is>
      </c>
      <c r="AV171" t="inlineStr">
        <is>
          <t>6889115</t>
        </is>
      </c>
      <c r="AW171" t="inlineStr">
        <is>
          <t>991005053279702656</t>
        </is>
      </c>
      <c r="AX171" t="inlineStr">
        <is>
          <t>991005053279702656</t>
        </is>
      </c>
      <c r="AY171" t="inlineStr">
        <is>
          <t>2269168480002656</t>
        </is>
      </c>
      <c r="AZ171" t="inlineStr">
        <is>
          <t>BOOK</t>
        </is>
      </c>
      <c r="BB171" t="inlineStr">
        <is>
          <t>9780393014297</t>
        </is>
      </c>
      <c r="BC171" t="inlineStr">
        <is>
          <t>32285000033760</t>
        </is>
      </c>
      <c r="BD171" t="inlineStr">
        <is>
          <t>893776753</t>
        </is>
      </c>
    </row>
    <row r="172">
      <c r="A172" t="inlineStr">
        <is>
          <t>No</t>
        </is>
      </c>
      <c r="B172" t="inlineStr">
        <is>
          <t>TX353 .F59</t>
        </is>
      </c>
      <c r="C172" t="inlineStr">
        <is>
          <t>0                      TX 0353000F  59</t>
        </is>
      </c>
      <c r="D172" t="inlineStr">
        <is>
          <t>Food and drink in history : selections from the Annales, économies, sociétes, civilisations, volume 5 / edited by Robert Forster and Orest Ranum ; translated by Elborg Forster and Patricia M. Ranum.</t>
        </is>
      </c>
      <c r="F172" t="inlineStr">
        <is>
          <t>No</t>
        </is>
      </c>
      <c r="G172" t="inlineStr">
        <is>
          <t>1</t>
        </is>
      </c>
      <c r="H172" t="inlineStr">
        <is>
          <t>No</t>
        </is>
      </c>
      <c r="I172" t="inlineStr">
        <is>
          <t>No</t>
        </is>
      </c>
      <c r="J172" t="inlineStr">
        <is>
          <t>0</t>
        </is>
      </c>
      <c r="L172" t="inlineStr">
        <is>
          <t>Baltimore : Johns Hopkins University Press, c1979.</t>
        </is>
      </c>
      <c r="M172" t="inlineStr">
        <is>
          <t>1979</t>
        </is>
      </c>
      <c r="O172" t="inlineStr">
        <is>
          <t>eng</t>
        </is>
      </c>
      <c r="P172" t="inlineStr">
        <is>
          <t>mdu</t>
        </is>
      </c>
      <c r="R172" t="inlineStr">
        <is>
          <t xml:space="preserve">TX </t>
        </is>
      </c>
      <c r="S172" t="n">
        <v>11</v>
      </c>
      <c r="T172" t="n">
        <v>11</v>
      </c>
      <c r="U172" t="inlineStr">
        <is>
          <t>2004-01-15</t>
        </is>
      </c>
      <c r="V172" t="inlineStr">
        <is>
          <t>2004-01-15</t>
        </is>
      </c>
      <c r="W172" t="inlineStr">
        <is>
          <t>1990-02-28</t>
        </is>
      </c>
      <c r="X172" t="inlineStr">
        <is>
          <t>1990-02-28</t>
        </is>
      </c>
      <c r="Y172" t="n">
        <v>623</v>
      </c>
      <c r="Z172" t="n">
        <v>531</v>
      </c>
      <c r="AA172" t="n">
        <v>544</v>
      </c>
      <c r="AB172" t="n">
        <v>5</v>
      </c>
      <c r="AC172" t="n">
        <v>5</v>
      </c>
      <c r="AD172" t="n">
        <v>23</v>
      </c>
      <c r="AE172" t="n">
        <v>23</v>
      </c>
      <c r="AF172" t="n">
        <v>7</v>
      </c>
      <c r="AG172" t="n">
        <v>7</v>
      </c>
      <c r="AH172" t="n">
        <v>5</v>
      </c>
      <c r="AI172" t="n">
        <v>5</v>
      </c>
      <c r="AJ172" t="n">
        <v>11</v>
      </c>
      <c r="AK172" t="n">
        <v>11</v>
      </c>
      <c r="AL172" t="n">
        <v>4</v>
      </c>
      <c r="AM172" t="n">
        <v>4</v>
      </c>
      <c r="AN172" t="n">
        <v>0</v>
      </c>
      <c r="AO172" t="n">
        <v>0</v>
      </c>
      <c r="AP172" t="inlineStr">
        <is>
          <t>No</t>
        </is>
      </c>
      <c r="AQ172" t="inlineStr">
        <is>
          <t>No</t>
        </is>
      </c>
      <c r="AS172">
        <f>HYPERLINK("https://creighton-primo.hosted.exlibrisgroup.com/primo-explore/search?tab=default_tab&amp;search_scope=EVERYTHING&amp;vid=01CRU&amp;lang=en_US&amp;offset=0&amp;query=any,contains,991004661649702656","Catalog Record")</f>
        <v/>
      </c>
      <c r="AT172">
        <f>HYPERLINK("http://www.worldcat.org/oclc/4497191","WorldCat Record")</f>
        <v/>
      </c>
      <c r="AU172" t="inlineStr">
        <is>
          <t>181479:eng</t>
        </is>
      </c>
      <c r="AV172" t="inlineStr">
        <is>
          <t>4497191</t>
        </is>
      </c>
      <c r="AW172" t="inlineStr">
        <is>
          <t>991004661649702656</t>
        </is>
      </c>
      <c r="AX172" t="inlineStr">
        <is>
          <t>991004661649702656</t>
        </is>
      </c>
      <c r="AY172" t="inlineStr">
        <is>
          <t>2266968370002656</t>
        </is>
      </c>
      <c r="AZ172" t="inlineStr">
        <is>
          <t>BOOK</t>
        </is>
      </c>
      <c r="BB172" t="inlineStr">
        <is>
          <t>9780801821561</t>
        </is>
      </c>
      <c r="BC172" t="inlineStr">
        <is>
          <t>32285000072693</t>
        </is>
      </c>
      <c r="BD172" t="inlineStr">
        <is>
          <t>893889019</t>
        </is>
      </c>
    </row>
    <row r="173">
      <c r="A173" t="inlineStr">
        <is>
          <t>No</t>
        </is>
      </c>
      <c r="B173" t="inlineStr">
        <is>
          <t>TX353 .K71</t>
        </is>
      </c>
      <c r="C173" t="inlineStr">
        <is>
          <t>0                      TX 0353000K  71</t>
        </is>
      </c>
      <c r="D173" t="inlineStr">
        <is>
          <t>Food and its functions : a text-book for students of cookery / by James Knight.</t>
        </is>
      </c>
      <c r="F173" t="inlineStr">
        <is>
          <t>No</t>
        </is>
      </c>
      <c r="G173" t="inlineStr">
        <is>
          <t>1</t>
        </is>
      </c>
      <c r="H173" t="inlineStr">
        <is>
          <t>No</t>
        </is>
      </c>
      <c r="I173" t="inlineStr">
        <is>
          <t>No</t>
        </is>
      </c>
      <c r="J173" t="inlineStr">
        <is>
          <t>0</t>
        </is>
      </c>
      <c r="K173" t="inlineStr">
        <is>
          <t>Knight, James, active 1728.</t>
        </is>
      </c>
      <c r="L173" t="inlineStr">
        <is>
          <t>London, Glasgow and Dublin : Blackie, [1903]</t>
        </is>
      </c>
      <c r="M173" t="inlineStr">
        <is>
          <t>1903</t>
        </is>
      </c>
      <c r="O173" t="inlineStr">
        <is>
          <t>eng</t>
        </is>
      </c>
      <c r="P173" t="inlineStr">
        <is>
          <t>enk</t>
        </is>
      </c>
      <c r="R173" t="inlineStr">
        <is>
          <t xml:space="preserve">TX </t>
        </is>
      </c>
      <c r="S173" t="n">
        <v>5</v>
      </c>
      <c r="T173" t="n">
        <v>5</v>
      </c>
      <c r="U173" t="inlineStr">
        <is>
          <t>2008-01-28</t>
        </is>
      </c>
      <c r="V173" t="inlineStr">
        <is>
          <t>2008-01-28</t>
        </is>
      </c>
      <c r="W173" t="inlineStr">
        <is>
          <t>1992-05-05</t>
        </is>
      </c>
      <c r="X173" t="inlineStr">
        <is>
          <t>1992-05-05</t>
        </is>
      </c>
      <c r="Y173" t="n">
        <v>24</v>
      </c>
      <c r="Z173" t="n">
        <v>23</v>
      </c>
      <c r="AA173" t="n">
        <v>51</v>
      </c>
      <c r="AB173" t="n">
        <v>1</v>
      </c>
      <c r="AC173" t="n">
        <v>1</v>
      </c>
      <c r="AD173" t="n">
        <v>0</v>
      </c>
      <c r="AE173" t="n">
        <v>0</v>
      </c>
      <c r="AF173" t="n">
        <v>0</v>
      </c>
      <c r="AG173" t="n">
        <v>0</v>
      </c>
      <c r="AH173" t="n">
        <v>0</v>
      </c>
      <c r="AI173" t="n">
        <v>0</v>
      </c>
      <c r="AJ173" t="n">
        <v>0</v>
      </c>
      <c r="AK173" t="n">
        <v>0</v>
      </c>
      <c r="AL173" t="n">
        <v>0</v>
      </c>
      <c r="AM173" t="n">
        <v>0</v>
      </c>
      <c r="AN173" t="n">
        <v>0</v>
      </c>
      <c r="AO173" t="n">
        <v>0</v>
      </c>
      <c r="AP173" t="inlineStr">
        <is>
          <t>Yes</t>
        </is>
      </c>
      <c r="AQ173" t="inlineStr">
        <is>
          <t>No</t>
        </is>
      </c>
      <c r="AR173">
        <f>HYPERLINK("http://catalog.hathitrust.org/Record/007936440","HathiTrust Record")</f>
        <v/>
      </c>
      <c r="AS173">
        <f>HYPERLINK("https://creighton-primo.hosted.exlibrisgroup.com/primo-explore/search?tab=default_tab&amp;search_scope=EVERYTHING&amp;vid=01CRU&amp;lang=en_US&amp;offset=0&amp;query=any,contains,991003979809702656","Catalog Record")</f>
        <v/>
      </c>
      <c r="AT173">
        <f>HYPERLINK("http://www.worldcat.org/oclc/2018628","WorldCat Record")</f>
        <v/>
      </c>
      <c r="AU173" t="inlineStr">
        <is>
          <t>2689642:eng</t>
        </is>
      </c>
      <c r="AV173" t="inlineStr">
        <is>
          <t>2018628</t>
        </is>
      </c>
      <c r="AW173" t="inlineStr">
        <is>
          <t>991003979809702656</t>
        </is>
      </c>
      <c r="AX173" t="inlineStr">
        <is>
          <t>991003979809702656</t>
        </is>
      </c>
      <c r="AY173" t="inlineStr">
        <is>
          <t>2259614440002656</t>
        </is>
      </c>
      <c r="AZ173" t="inlineStr">
        <is>
          <t>BOOK</t>
        </is>
      </c>
      <c r="BC173" t="inlineStr">
        <is>
          <t>32285001092724</t>
        </is>
      </c>
      <c r="BD173" t="inlineStr">
        <is>
          <t>893593123</t>
        </is>
      </c>
    </row>
    <row r="174">
      <c r="A174" t="inlineStr">
        <is>
          <t>No</t>
        </is>
      </c>
      <c r="B174" t="inlineStr">
        <is>
          <t>TX353 .N48 1986</t>
        </is>
      </c>
      <c r="C174" t="inlineStr">
        <is>
          <t>0                      TX 0353000N  48          1986</t>
        </is>
      </c>
      <c r="D174" t="inlineStr">
        <is>
          <t>Melting pot : an annotated bibliography and guide to food and nutrition information for ethnic groups in America / Jacqueline M. Newman.</t>
        </is>
      </c>
      <c r="F174" t="inlineStr">
        <is>
          <t>No</t>
        </is>
      </c>
      <c r="G174" t="inlineStr">
        <is>
          <t>1</t>
        </is>
      </c>
      <c r="H174" t="inlineStr">
        <is>
          <t>No</t>
        </is>
      </c>
      <c r="I174" t="inlineStr">
        <is>
          <t>No</t>
        </is>
      </c>
      <c r="J174" t="inlineStr">
        <is>
          <t>0</t>
        </is>
      </c>
      <c r="K174" t="inlineStr">
        <is>
          <t>Newman, Jacqueline M., 1932-</t>
        </is>
      </c>
      <c r="L174" t="inlineStr">
        <is>
          <t>New York : Garland Pub., 1986.</t>
        </is>
      </c>
      <c r="M174" t="inlineStr">
        <is>
          <t>1986</t>
        </is>
      </c>
      <c r="O174" t="inlineStr">
        <is>
          <t>eng</t>
        </is>
      </c>
      <c r="P174" t="inlineStr">
        <is>
          <t>nyu</t>
        </is>
      </c>
      <c r="Q174" t="inlineStr">
        <is>
          <t>Garland reference library of social science ; vol. 351</t>
        </is>
      </c>
      <c r="R174" t="inlineStr">
        <is>
          <t xml:space="preserve">TX </t>
        </is>
      </c>
      <c r="S174" t="n">
        <v>3</v>
      </c>
      <c r="T174" t="n">
        <v>3</v>
      </c>
      <c r="U174" t="inlineStr">
        <is>
          <t>2001-11-09</t>
        </is>
      </c>
      <c r="V174" t="inlineStr">
        <is>
          <t>2001-11-09</t>
        </is>
      </c>
      <c r="W174" t="inlineStr">
        <is>
          <t>1992-08-07</t>
        </is>
      </c>
      <c r="X174" t="inlineStr">
        <is>
          <t>1992-08-07</t>
        </is>
      </c>
      <c r="Y174" t="n">
        <v>275</v>
      </c>
      <c r="Z174" t="n">
        <v>260</v>
      </c>
      <c r="AA174" t="n">
        <v>340</v>
      </c>
      <c r="AB174" t="n">
        <v>2</v>
      </c>
      <c r="AC174" t="n">
        <v>3</v>
      </c>
      <c r="AD174" t="n">
        <v>4</v>
      </c>
      <c r="AE174" t="n">
        <v>9</v>
      </c>
      <c r="AF174" t="n">
        <v>1</v>
      </c>
      <c r="AG174" t="n">
        <v>2</v>
      </c>
      <c r="AH174" t="n">
        <v>1</v>
      </c>
      <c r="AI174" t="n">
        <v>2</v>
      </c>
      <c r="AJ174" t="n">
        <v>1</v>
      </c>
      <c r="AK174" t="n">
        <v>3</v>
      </c>
      <c r="AL174" t="n">
        <v>1</v>
      </c>
      <c r="AM174" t="n">
        <v>2</v>
      </c>
      <c r="AN174" t="n">
        <v>0</v>
      </c>
      <c r="AO174" t="n">
        <v>0</v>
      </c>
      <c r="AP174" t="inlineStr">
        <is>
          <t>No</t>
        </is>
      </c>
      <c r="AQ174" t="inlineStr">
        <is>
          <t>Yes</t>
        </is>
      </c>
      <c r="AR174">
        <f>HYPERLINK("http://catalog.hathitrust.org/Record/000489032","HathiTrust Record")</f>
        <v/>
      </c>
      <c r="AS174">
        <f>HYPERLINK("https://creighton-primo.hosted.exlibrisgroup.com/primo-explore/search?tab=default_tab&amp;search_scope=EVERYTHING&amp;vid=01CRU&amp;lang=en_US&amp;offset=0&amp;query=any,contains,991000791359702656","Catalog Record")</f>
        <v/>
      </c>
      <c r="AT174">
        <f>HYPERLINK("http://www.worldcat.org/oclc/13158135","WorldCat Record")</f>
        <v/>
      </c>
      <c r="AU174" t="inlineStr">
        <is>
          <t>3855427565:eng</t>
        </is>
      </c>
      <c r="AV174" t="inlineStr">
        <is>
          <t>13158135</t>
        </is>
      </c>
      <c r="AW174" t="inlineStr">
        <is>
          <t>991000791359702656</t>
        </is>
      </c>
      <c r="AX174" t="inlineStr">
        <is>
          <t>991000791359702656</t>
        </is>
      </c>
      <c r="AY174" t="inlineStr">
        <is>
          <t>2265281010002656</t>
        </is>
      </c>
      <c r="AZ174" t="inlineStr">
        <is>
          <t>BOOK</t>
        </is>
      </c>
      <c r="BB174" t="inlineStr">
        <is>
          <t>9780824043261</t>
        </is>
      </c>
      <c r="BC174" t="inlineStr">
        <is>
          <t>32285001242832</t>
        </is>
      </c>
      <c r="BD174" t="inlineStr">
        <is>
          <t>893690036</t>
        </is>
      </c>
    </row>
    <row r="175">
      <c r="A175" t="inlineStr">
        <is>
          <t>No</t>
        </is>
      </c>
      <c r="B175" t="inlineStr">
        <is>
          <t>TX353 .W513 2002</t>
        </is>
      </c>
      <c r="C175" t="inlineStr">
        <is>
          <t>0                      TX 0353000W  513         2002</t>
        </is>
      </c>
      <c r="D175" t="inlineStr">
        <is>
          <t>What we eat : the true story of why we put sugar in our coffee and ketchup on our fries / edited by Burt Wolf.</t>
        </is>
      </c>
      <c r="F175" t="inlineStr">
        <is>
          <t>No</t>
        </is>
      </c>
      <c r="G175" t="inlineStr">
        <is>
          <t>1</t>
        </is>
      </c>
      <c r="H175" t="inlineStr">
        <is>
          <t>No</t>
        </is>
      </c>
      <c r="I175" t="inlineStr">
        <is>
          <t>No</t>
        </is>
      </c>
      <c r="J175" t="inlineStr">
        <is>
          <t>0</t>
        </is>
      </c>
      <c r="L175" t="inlineStr">
        <is>
          <t>San Diego, Calif. : Tehabi Books, c2002.</t>
        </is>
      </c>
      <c r="M175" t="inlineStr">
        <is>
          <t>2002</t>
        </is>
      </c>
      <c r="N175" t="inlineStr">
        <is>
          <t>1st ed.</t>
        </is>
      </c>
      <c r="O175" t="inlineStr">
        <is>
          <t>eng</t>
        </is>
      </c>
      <c r="P175" t="inlineStr">
        <is>
          <t>cau</t>
        </is>
      </c>
      <c r="R175" t="inlineStr">
        <is>
          <t xml:space="preserve">TX </t>
        </is>
      </c>
      <c r="S175" t="n">
        <v>3</v>
      </c>
      <c r="T175" t="n">
        <v>3</v>
      </c>
      <c r="U175" t="inlineStr">
        <is>
          <t>2010-06-09</t>
        </is>
      </c>
      <c r="V175" t="inlineStr">
        <is>
          <t>2010-06-09</t>
        </is>
      </c>
      <c r="W175" t="inlineStr">
        <is>
          <t>2006-06-20</t>
        </is>
      </c>
      <c r="X175" t="inlineStr">
        <is>
          <t>2006-06-20</t>
        </is>
      </c>
      <c r="Y175" t="n">
        <v>130</v>
      </c>
      <c r="Z175" t="n">
        <v>129</v>
      </c>
      <c r="AA175" t="n">
        <v>134</v>
      </c>
      <c r="AB175" t="n">
        <v>27</v>
      </c>
      <c r="AC175" t="n">
        <v>27</v>
      </c>
      <c r="AD175" t="n">
        <v>8</v>
      </c>
      <c r="AE175" t="n">
        <v>8</v>
      </c>
      <c r="AF175" t="n">
        <v>1</v>
      </c>
      <c r="AG175" t="n">
        <v>1</v>
      </c>
      <c r="AH175" t="n">
        <v>0</v>
      </c>
      <c r="AI175" t="n">
        <v>0</v>
      </c>
      <c r="AJ175" t="n">
        <v>1</v>
      </c>
      <c r="AK175" t="n">
        <v>1</v>
      </c>
      <c r="AL175" t="n">
        <v>7</v>
      </c>
      <c r="AM175" t="n">
        <v>7</v>
      </c>
      <c r="AN175" t="n">
        <v>0</v>
      </c>
      <c r="AO175" t="n">
        <v>0</v>
      </c>
      <c r="AP175" t="inlineStr">
        <is>
          <t>No</t>
        </is>
      </c>
      <c r="AQ175" t="inlineStr">
        <is>
          <t>No</t>
        </is>
      </c>
      <c r="AS175">
        <f>HYPERLINK("https://creighton-primo.hosted.exlibrisgroup.com/primo-explore/search?tab=default_tab&amp;search_scope=EVERYTHING&amp;vid=01CRU&amp;lang=en_US&amp;offset=0&amp;query=any,contains,991004831759702656","Catalog Record")</f>
        <v/>
      </c>
      <c r="AT175">
        <f>HYPERLINK("http://www.worldcat.org/oclc/50843671","WorldCat Record")</f>
        <v/>
      </c>
      <c r="AU175" t="inlineStr">
        <is>
          <t>5164557423:eng</t>
        </is>
      </c>
      <c r="AV175" t="inlineStr">
        <is>
          <t>50843671</t>
        </is>
      </c>
      <c r="AW175" t="inlineStr">
        <is>
          <t>991004831759702656</t>
        </is>
      </c>
      <c r="AX175" t="inlineStr">
        <is>
          <t>991004831759702656</t>
        </is>
      </c>
      <c r="AY175" t="inlineStr">
        <is>
          <t>2263092090002656</t>
        </is>
      </c>
      <c r="AZ175" t="inlineStr">
        <is>
          <t>BOOK</t>
        </is>
      </c>
      <c r="BB175" t="inlineStr">
        <is>
          <t>9781887656986</t>
        </is>
      </c>
      <c r="BC175" t="inlineStr">
        <is>
          <t>32285005191514</t>
        </is>
      </c>
      <c r="BD175" t="inlineStr">
        <is>
          <t>893688214</t>
        </is>
      </c>
    </row>
    <row r="176">
      <c r="A176" t="inlineStr">
        <is>
          <t>No</t>
        </is>
      </c>
      <c r="B176" t="inlineStr">
        <is>
          <t>TX360.M4 B34 1998</t>
        </is>
      </c>
      <c r="C176" t="inlineStr">
        <is>
          <t>0                      TX 0360000M  4                  B  34          1998</t>
        </is>
      </c>
      <c r="D176" t="inlineStr">
        <is>
          <t>Cooking - and coping - among the cacti : diet, nutrition and available income in northwestern Mexico / Roberta D. Baer.</t>
        </is>
      </c>
      <c r="F176" t="inlineStr">
        <is>
          <t>No</t>
        </is>
      </c>
      <c r="G176" t="inlineStr">
        <is>
          <t>1</t>
        </is>
      </c>
      <c r="H176" t="inlineStr">
        <is>
          <t>No</t>
        </is>
      </c>
      <c r="I176" t="inlineStr">
        <is>
          <t>No</t>
        </is>
      </c>
      <c r="J176" t="inlineStr">
        <is>
          <t>0</t>
        </is>
      </c>
      <c r="K176" t="inlineStr">
        <is>
          <t>Baer, Roberta Dale.</t>
        </is>
      </c>
      <c r="L176" t="inlineStr">
        <is>
          <t>Amsterdam : Gordon and Breach, 1998.</t>
        </is>
      </c>
      <c r="M176" t="inlineStr">
        <is>
          <t>1998</t>
        </is>
      </c>
      <c r="O176" t="inlineStr">
        <is>
          <t>eng</t>
        </is>
      </c>
      <c r="P176" t="inlineStr">
        <is>
          <t xml:space="preserve">ne </t>
        </is>
      </c>
      <c r="Q176" t="inlineStr">
        <is>
          <t>Food and nutrition in history and anthropology ; v. 13</t>
        </is>
      </c>
      <c r="R176" t="inlineStr">
        <is>
          <t xml:space="preserve">TX </t>
        </is>
      </c>
      <c r="S176" t="n">
        <v>4</v>
      </c>
      <c r="T176" t="n">
        <v>4</v>
      </c>
      <c r="U176" t="inlineStr">
        <is>
          <t>2003-03-21</t>
        </is>
      </c>
      <c r="V176" t="inlineStr">
        <is>
          <t>2003-03-21</t>
        </is>
      </c>
      <c r="W176" t="inlineStr">
        <is>
          <t>1999-09-09</t>
        </is>
      </c>
      <c r="X176" t="inlineStr">
        <is>
          <t>1999-09-09</t>
        </is>
      </c>
      <c r="Y176" t="n">
        <v>180</v>
      </c>
      <c r="Z176" t="n">
        <v>156</v>
      </c>
      <c r="AA176" t="n">
        <v>182</v>
      </c>
      <c r="AB176" t="n">
        <v>1</v>
      </c>
      <c r="AC176" t="n">
        <v>1</v>
      </c>
      <c r="AD176" t="n">
        <v>5</v>
      </c>
      <c r="AE176" t="n">
        <v>5</v>
      </c>
      <c r="AF176" t="n">
        <v>0</v>
      </c>
      <c r="AG176" t="n">
        <v>0</v>
      </c>
      <c r="AH176" t="n">
        <v>3</v>
      </c>
      <c r="AI176" t="n">
        <v>3</v>
      </c>
      <c r="AJ176" t="n">
        <v>4</v>
      </c>
      <c r="AK176" t="n">
        <v>4</v>
      </c>
      <c r="AL176" t="n">
        <v>0</v>
      </c>
      <c r="AM176" t="n">
        <v>0</v>
      </c>
      <c r="AN176" t="n">
        <v>0</v>
      </c>
      <c r="AO176" t="n">
        <v>0</v>
      </c>
      <c r="AP176" t="inlineStr">
        <is>
          <t>No</t>
        </is>
      </c>
      <c r="AQ176" t="inlineStr">
        <is>
          <t>No</t>
        </is>
      </c>
      <c r="AS176">
        <f>HYPERLINK("https://creighton-primo.hosted.exlibrisgroup.com/primo-explore/search?tab=default_tab&amp;search_scope=EVERYTHING&amp;vid=01CRU&amp;lang=en_US&amp;offset=0&amp;query=any,contains,991002958699702656","Catalog Record")</f>
        <v/>
      </c>
      <c r="AT176">
        <f>HYPERLINK("http://www.worldcat.org/oclc/39526990","WorldCat Record")</f>
        <v/>
      </c>
      <c r="AU176" t="inlineStr">
        <is>
          <t>234960473:eng</t>
        </is>
      </c>
      <c r="AV176" t="inlineStr">
        <is>
          <t>39526990</t>
        </is>
      </c>
      <c r="AW176" t="inlineStr">
        <is>
          <t>991002958699702656</t>
        </is>
      </c>
      <c r="AX176" t="inlineStr">
        <is>
          <t>991002958699702656</t>
        </is>
      </c>
      <c r="AY176" t="inlineStr">
        <is>
          <t>2260126300002656</t>
        </is>
      </c>
      <c r="AZ176" t="inlineStr">
        <is>
          <t>BOOK</t>
        </is>
      </c>
      <c r="BB176" t="inlineStr">
        <is>
          <t>9789056995768</t>
        </is>
      </c>
      <c r="BC176" t="inlineStr">
        <is>
          <t>32285003587580</t>
        </is>
      </c>
      <c r="BD176" t="inlineStr">
        <is>
          <t>893530694</t>
        </is>
      </c>
    </row>
    <row r="177">
      <c r="A177" t="inlineStr">
        <is>
          <t>No</t>
        </is>
      </c>
      <c r="B177" t="inlineStr">
        <is>
          <t>TX361.A8 D75 2000</t>
        </is>
      </c>
      <c r="C177" t="inlineStr">
        <is>
          <t>0                      TX 0361000A  8                  D  75          2000</t>
        </is>
      </c>
      <c r="D177" t="inlineStr">
        <is>
          <t>Sports nutrition / Judy A. Driskell.</t>
        </is>
      </c>
      <c r="F177" t="inlineStr">
        <is>
          <t>No</t>
        </is>
      </c>
      <c r="G177" t="inlineStr">
        <is>
          <t>1</t>
        </is>
      </c>
      <c r="H177" t="inlineStr">
        <is>
          <t>No</t>
        </is>
      </c>
      <c r="I177" t="inlineStr">
        <is>
          <t>No</t>
        </is>
      </c>
      <c r="J177" t="inlineStr">
        <is>
          <t>0</t>
        </is>
      </c>
      <c r="K177" t="inlineStr">
        <is>
          <t>Driskell, Judy A. (Judy Anne)</t>
        </is>
      </c>
      <c r="L177" t="inlineStr">
        <is>
          <t>Boca Raton, FL : CRC Press, 2000.</t>
        </is>
      </c>
      <c r="M177" t="inlineStr">
        <is>
          <t>2000</t>
        </is>
      </c>
      <c r="O177" t="inlineStr">
        <is>
          <t>eng</t>
        </is>
      </c>
      <c r="P177" t="inlineStr">
        <is>
          <t>flu</t>
        </is>
      </c>
      <c r="Q177" t="inlineStr">
        <is>
          <t>Nutrition in exercise and sport</t>
        </is>
      </c>
      <c r="R177" t="inlineStr">
        <is>
          <t xml:space="preserve">TX </t>
        </is>
      </c>
      <c r="S177" t="n">
        <v>6</v>
      </c>
      <c r="T177" t="n">
        <v>6</v>
      </c>
      <c r="U177" t="inlineStr">
        <is>
          <t>2007-12-12</t>
        </is>
      </c>
      <c r="V177" t="inlineStr">
        <is>
          <t>2007-12-12</t>
        </is>
      </c>
      <c r="W177" t="inlineStr">
        <is>
          <t>2000-03-23</t>
        </is>
      </c>
      <c r="X177" t="inlineStr">
        <is>
          <t>2000-03-23</t>
        </is>
      </c>
      <c r="Y177" t="n">
        <v>415</v>
      </c>
      <c r="Z177" t="n">
        <v>335</v>
      </c>
      <c r="AA177" t="n">
        <v>339</v>
      </c>
      <c r="AB177" t="n">
        <v>5</v>
      </c>
      <c r="AC177" t="n">
        <v>5</v>
      </c>
      <c r="AD177" t="n">
        <v>12</v>
      </c>
      <c r="AE177" t="n">
        <v>12</v>
      </c>
      <c r="AF177" t="n">
        <v>5</v>
      </c>
      <c r="AG177" t="n">
        <v>5</v>
      </c>
      <c r="AH177" t="n">
        <v>3</v>
      </c>
      <c r="AI177" t="n">
        <v>3</v>
      </c>
      <c r="AJ177" t="n">
        <v>2</v>
      </c>
      <c r="AK177" t="n">
        <v>2</v>
      </c>
      <c r="AL177" t="n">
        <v>4</v>
      </c>
      <c r="AM177" t="n">
        <v>4</v>
      </c>
      <c r="AN177" t="n">
        <v>0</v>
      </c>
      <c r="AO177" t="n">
        <v>0</v>
      </c>
      <c r="AP177" t="inlineStr">
        <is>
          <t>No</t>
        </is>
      </c>
      <c r="AQ177" t="inlineStr">
        <is>
          <t>No</t>
        </is>
      </c>
      <c r="AS177">
        <f>HYPERLINK("https://creighton-primo.hosted.exlibrisgroup.com/primo-explore/search?tab=default_tab&amp;search_scope=EVERYTHING&amp;vid=01CRU&amp;lang=en_US&amp;offset=0&amp;query=any,contains,991003017349702656","Catalog Record")</f>
        <v/>
      </c>
      <c r="AT177">
        <f>HYPERLINK("http://www.worldcat.org/oclc/41049745","WorldCat Record")</f>
        <v/>
      </c>
      <c r="AU177" t="inlineStr">
        <is>
          <t>9657335210:eng</t>
        </is>
      </c>
      <c r="AV177" t="inlineStr">
        <is>
          <t>41049745</t>
        </is>
      </c>
      <c r="AW177" t="inlineStr">
        <is>
          <t>991003017349702656</t>
        </is>
      </c>
      <c r="AX177" t="inlineStr">
        <is>
          <t>991003017349702656</t>
        </is>
      </c>
      <c r="AY177" t="inlineStr">
        <is>
          <t>2259348760002656</t>
        </is>
      </c>
      <c r="AZ177" t="inlineStr">
        <is>
          <t>BOOK</t>
        </is>
      </c>
      <c r="BB177" t="inlineStr">
        <is>
          <t>9780849381973</t>
        </is>
      </c>
      <c r="BC177" t="inlineStr">
        <is>
          <t>32285003673653</t>
        </is>
      </c>
      <c r="BD177" t="inlineStr">
        <is>
          <t>893793237</t>
        </is>
      </c>
    </row>
    <row r="178">
      <c r="A178" t="inlineStr">
        <is>
          <t>No</t>
        </is>
      </c>
      <c r="B178" t="inlineStr">
        <is>
          <t>TX361.A8 E374 1990</t>
        </is>
      </c>
      <c r="C178" t="inlineStr">
        <is>
          <t>0                      TX 0361000A  8                  E  374         1990</t>
        </is>
      </c>
      <c r="D178" t="inlineStr">
        <is>
          <t>Coaches guide to nutrition and weight control / Patricia A. Eisenman, Stephen C. Johnson, Joan E. Benson.</t>
        </is>
      </c>
      <c r="F178" t="inlineStr">
        <is>
          <t>No</t>
        </is>
      </c>
      <c r="G178" t="inlineStr">
        <is>
          <t>1</t>
        </is>
      </c>
      <c r="H178" t="inlineStr">
        <is>
          <t>No</t>
        </is>
      </c>
      <c r="I178" t="inlineStr">
        <is>
          <t>No</t>
        </is>
      </c>
      <c r="J178" t="inlineStr">
        <is>
          <t>0</t>
        </is>
      </c>
      <c r="K178" t="inlineStr">
        <is>
          <t>Eisenman, Patricia.</t>
        </is>
      </c>
      <c r="L178" t="inlineStr">
        <is>
          <t>Champaign, IL : Human Kinetics Publishers, c1990.</t>
        </is>
      </c>
      <c r="M178" t="inlineStr">
        <is>
          <t>1990</t>
        </is>
      </c>
      <c r="N178" t="inlineStr">
        <is>
          <t>2nd ed.</t>
        </is>
      </c>
      <c r="O178" t="inlineStr">
        <is>
          <t>eng</t>
        </is>
      </c>
      <c r="P178" t="inlineStr">
        <is>
          <t>ilu</t>
        </is>
      </c>
      <c r="R178" t="inlineStr">
        <is>
          <t xml:space="preserve">TX </t>
        </is>
      </c>
      <c r="S178" t="n">
        <v>24</v>
      </c>
      <c r="T178" t="n">
        <v>24</v>
      </c>
      <c r="U178" t="inlineStr">
        <is>
          <t>2005-04-09</t>
        </is>
      </c>
      <c r="V178" t="inlineStr">
        <is>
          <t>2005-04-09</t>
        </is>
      </c>
      <c r="W178" t="inlineStr">
        <is>
          <t>1990-02-02</t>
        </is>
      </c>
      <c r="X178" t="inlineStr">
        <is>
          <t>1990-02-02</t>
        </is>
      </c>
      <c r="Y178" t="n">
        <v>420</v>
      </c>
      <c r="Z178" t="n">
        <v>320</v>
      </c>
      <c r="AA178" t="n">
        <v>614</v>
      </c>
      <c r="AB178" t="n">
        <v>6</v>
      </c>
      <c r="AC178" t="n">
        <v>10</v>
      </c>
      <c r="AD178" t="n">
        <v>9</v>
      </c>
      <c r="AE178" t="n">
        <v>24</v>
      </c>
      <c r="AF178" t="n">
        <v>1</v>
      </c>
      <c r="AG178" t="n">
        <v>10</v>
      </c>
      <c r="AH178" t="n">
        <v>2</v>
      </c>
      <c r="AI178" t="n">
        <v>3</v>
      </c>
      <c r="AJ178" t="n">
        <v>3</v>
      </c>
      <c r="AK178" t="n">
        <v>6</v>
      </c>
      <c r="AL178" t="n">
        <v>4</v>
      </c>
      <c r="AM178" t="n">
        <v>8</v>
      </c>
      <c r="AN178" t="n">
        <v>0</v>
      </c>
      <c r="AO178" t="n">
        <v>0</v>
      </c>
      <c r="AP178" t="inlineStr">
        <is>
          <t>No</t>
        </is>
      </c>
      <c r="AQ178" t="inlineStr">
        <is>
          <t>No</t>
        </is>
      </c>
      <c r="AS178">
        <f>HYPERLINK("https://creighton-primo.hosted.exlibrisgroup.com/primo-explore/search?tab=default_tab&amp;search_scope=EVERYTHING&amp;vid=01CRU&amp;lang=en_US&amp;offset=0&amp;query=any,contains,991001468929702656","Catalog Record")</f>
        <v/>
      </c>
      <c r="AT178">
        <f>HYPERLINK("http://www.worldcat.org/oclc/19518314","WorldCat Record")</f>
        <v/>
      </c>
      <c r="AU178" t="inlineStr">
        <is>
          <t>21426622:eng</t>
        </is>
      </c>
      <c r="AV178" t="inlineStr">
        <is>
          <t>19518314</t>
        </is>
      </c>
      <c r="AW178" t="inlineStr">
        <is>
          <t>991001468929702656</t>
        </is>
      </c>
      <c r="AX178" t="inlineStr">
        <is>
          <t>991001468929702656</t>
        </is>
      </c>
      <c r="AY178" t="inlineStr">
        <is>
          <t>2262285550002656</t>
        </is>
      </c>
      <c r="AZ178" t="inlineStr">
        <is>
          <t>BOOK</t>
        </is>
      </c>
      <c r="BB178" t="inlineStr">
        <is>
          <t>9780880113656</t>
        </is>
      </c>
      <c r="BC178" t="inlineStr">
        <is>
          <t>32285000036136</t>
        </is>
      </c>
      <c r="BD178" t="inlineStr">
        <is>
          <t>893328151</t>
        </is>
      </c>
    </row>
    <row r="179">
      <c r="A179" t="inlineStr">
        <is>
          <t>No</t>
        </is>
      </c>
      <c r="B179" t="inlineStr">
        <is>
          <t>TX361.A8 E38 1992</t>
        </is>
      </c>
      <c r="C179" t="inlineStr">
        <is>
          <t>0                      TX 0361000A  8                  E  38          1992</t>
        </is>
      </c>
      <c r="D179" t="inlineStr">
        <is>
          <t>Eating, body weight, and performance in athletes : disorders of modern society / [edited by] Kelly D. Brownell, Judith Rodin, Jack H. Wilmore.</t>
        </is>
      </c>
      <c r="F179" t="inlineStr">
        <is>
          <t>No</t>
        </is>
      </c>
      <c r="G179" t="inlineStr">
        <is>
          <t>1</t>
        </is>
      </c>
      <c r="H179" t="inlineStr">
        <is>
          <t>No</t>
        </is>
      </c>
      <c r="I179" t="inlineStr">
        <is>
          <t>No</t>
        </is>
      </c>
      <c r="J179" t="inlineStr">
        <is>
          <t>0</t>
        </is>
      </c>
      <c r="L179" t="inlineStr">
        <is>
          <t>Philadelphia : Lea &amp; Febiger, 1992.</t>
        </is>
      </c>
      <c r="M179" t="inlineStr">
        <is>
          <t>1992</t>
        </is>
      </c>
      <c r="O179" t="inlineStr">
        <is>
          <t>eng</t>
        </is>
      </c>
      <c r="P179" t="inlineStr">
        <is>
          <t>pau</t>
        </is>
      </c>
      <c r="R179" t="inlineStr">
        <is>
          <t xml:space="preserve">TX </t>
        </is>
      </c>
      <c r="S179" t="n">
        <v>36</v>
      </c>
      <c r="T179" t="n">
        <v>36</v>
      </c>
      <c r="U179" t="inlineStr">
        <is>
          <t>2006-10-29</t>
        </is>
      </c>
      <c r="V179" t="inlineStr">
        <is>
          <t>2006-10-29</t>
        </is>
      </c>
      <c r="W179" t="inlineStr">
        <is>
          <t>1992-05-29</t>
        </is>
      </c>
      <c r="X179" t="inlineStr">
        <is>
          <t>1992-05-29</t>
        </is>
      </c>
      <c r="Y179" t="n">
        <v>589</v>
      </c>
      <c r="Z179" t="n">
        <v>484</v>
      </c>
      <c r="AA179" t="n">
        <v>490</v>
      </c>
      <c r="AB179" t="n">
        <v>4</v>
      </c>
      <c r="AC179" t="n">
        <v>4</v>
      </c>
      <c r="AD179" t="n">
        <v>23</v>
      </c>
      <c r="AE179" t="n">
        <v>23</v>
      </c>
      <c r="AF179" t="n">
        <v>12</v>
      </c>
      <c r="AG179" t="n">
        <v>12</v>
      </c>
      <c r="AH179" t="n">
        <v>4</v>
      </c>
      <c r="AI179" t="n">
        <v>4</v>
      </c>
      <c r="AJ179" t="n">
        <v>11</v>
      </c>
      <c r="AK179" t="n">
        <v>11</v>
      </c>
      <c r="AL179" t="n">
        <v>3</v>
      </c>
      <c r="AM179" t="n">
        <v>3</v>
      </c>
      <c r="AN179" t="n">
        <v>0</v>
      </c>
      <c r="AO179" t="n">
        <v>0</v>
      </c>
      <c r="AP179" t="inlineStr">
        <is>
          <t>No</t>
        </is>
      </c>
      <c r="AQ179" t="inlineStr">
        <is>
          <t>Yes</t>
        </is>
      </c>
      <c r="AR179">
        <f>HYPERLINK("http://catalog.hathitrust.org/Record/004521285","HathiTrust Record")</f>
        <v/>
      </c>
      <c r="AS179">
        <f>HYPERLINK("https://creighton-primo.hosted.exlibrisgroup.com/primo-explore/search?tab=default_tab&amp;search_scope=EVERYTHING&amp;vid=01CRU&amp;lang=en_US&amp;offset=0&amp;query=any,contains,991001903479702656","Catalog Record")</f>
        <v/>
      </c>
      <c r="AT179">
        <f>HYPERLINK("http://www.worldcat.org/oclc/24065230","WorldCat Record")</f>
        <v/>
      </c>
      <c r="AU179" t="inlineStr">
        <is>
          <t>836884812:eng</t>
        </is>
      </c>
      <c r="AV179" t="inlineStr">
        <is>
          <t>24065230</t>
        </is>
      </c>
      <c r="AW179" t="inlineStr">
        <is>
          <t>991001903479702656</t>
        </is>
      </c>
      <c r="AX179" t="inlineStr">
        <is>
          <t>991001903479702656</t>
        </is>
      </c>
      <c r="AY179" t="inlineStr">
        <is>
          <t>2263969350002656</t>
        </is>
      </c>
      <c r="AZ179" t="inlineStr">
        <is>
          <t>BOOK</t>
        </is>
      </c>
      <c r="BB179" t="inlineStr">
        <is>
          <t>9780812114744</t>
        </is>
      </c>
      <c r="BC179" t="inlineStr">
        <is>
          <t>32285001119733</t>
        </is>
      </c>
      <c r="BD179" t="inlineStr">
        <is>
          <t>893879279</t>
        </is>
      </c>
    </row>
    <row r="180">
      <c r="A180" t="inlineStr">
        <is>
          <t>No</t>
        </is>
      </c>
      <c r="B180" t="inlineStr">
        <is>
          <t>TX361.A8 N873 1995</t>
        </is>
      </c>
      <c r="C180" t="inlineStr">
        <is>
          <t>0                      TX 0361000A  8                  N  873         1995</t>
        </is>
      </c>
      <c r="D180" t="inlineStr">
        <is>
          <t>Nutrition for the recreational athlete / [edited by] Catherine G. Ratzin Jackson.</t>
        </is>
      </c>
      <c r="F180" t="inlineStr">
        <is>
          <t>No</t>
        </is>
      </c>
      <c r="G180" t="inlineStr">
        <is>
          <t>1</t>
        </is>
      </c>
      <c r="H180" t="inlineStr">
        <is>
          <t>No</t>
        </is>
      </c>
      <c r="I180" t="inlineStr">
        <is>
          <t>No</t>
        </is>
      </c>
      <c r="J180" t="inlineStr">
        <is>
          <t>0</t>
        </is>
      </c>
      <c r="L180" t="inlineStr">
        <is>
          <t>Boca Raton : CRC Press, c1995.</t>
        </is>
      </c>
      <c r="M180" t="inlineStr">
        <is>
          <t>1995</t>
        </is>
      </c>
      <c r="O180" t="inlineStr">
        <is>
          <t>eng</t>
        </is>
      </c>
      <c r="P180" t="inlineStr">
        <is>
          <t>flu</t>
        </is>
      </c>
      <c r="Q180" t="inlineStr">
        <is>
          <t>CRC series on nutrition in exercise and sport</t>
        </is>
      </c>
      <c r="R180" t="inlineStr">
        <is>
          <t xml:space="preserve">TX </t>
        </is>
      </c>
      <c r="S180" t="n">
        <v>12</v>
      </c>
      <c r="T180" t="n">
        <v>12</v>
      </c>
      <c r="U180" t="inlineStr">
        <is>
          <t>1999-09-27</t>
        </is>
      </c>
      <c r="V180" t="inlineStr">
        <is>
          <t>1999-09-27</t>
        </is>
      </c>
      <c r="W180" t="inlineStr">
        <is>
          <t>1995-11-27</t>
        </is>
      </c>
      <c r="X180" t="inlineStr">
        <is>
          <t>1995-11-27</t>
        </is>
      </c>
      <c r="Y180" t="n">
        <v>373</v>
      </c>
      <c r="Z180" t="n">
        <v>303</v>
      </c>
      <c r="AA180" t="n">
        <v>303</v>
      </c>
      <c r="AB180" t="n">
        <v>3</v>
      </c>
      <c r="AC180" t="n">
        <v>3</v>
      </c>
      <c r="AD180" t="n">
        <v>14</v>
      </c>
      <c r="AE180" t="n">
        <v>14</v>
      </c>
      <c r="AF180" t="n">
        <v>7</v>
      </c>
      <c r="AG180" t="n">
        <v>7</v>
      </c>
      <c r="AH180" t="n">
        <v>3</v>
      </c>
      <c r="AI180" t="n">
        <v>3</v>
      </c>
      <c r="AJ180" t="n">
        <v>4</v>
      </c>
      <c r="AK180" t="n">
        <v>4</v>
      </c>
      <c r="AL180" t="n">
        <v>2</v>
      </c>
      <c r="AM180" t="n">
        <v>2</v>
      </c>
      <c r="AN180" t="n">
        <v>0</v>
      </c>
      <c r="AO180" t="n">
        <v>0</v>
      </c>
      <c r="AP180" t="inlineStr">
        <is>
          <t>No</t>
        </is>
      </c>
      <c r="AQ180" t="inlineStr">
        <is>
          <t>No</t>
        </is>
      </c>
      <c r="AS180">
        <f>HYPERLINK("https://creighton-primo.hosted.exlibrisgroup.com/primo-explore/search?tab=default_tab&amp;search_scope=EVERYTHING&amp;vid=01CRU&amp;lang=en_US&amp;offset=0&amp;query=any,contains,991002348569702656","Catalog Record")</f>
        <v/>
      </c>
      <c r="AT180">
        <f>HYPERLINK("http://www.worldcat.org/oclc/30593607","WorldCat Record")</f>
        <v/>
      </c>
      <c r="AU180" t="inlineStr">
        <is>
          <t>32766397:eng</t>
        </is>
      </c>
      <c r="AV180" t="inlineStr">
        <is>
          <t>30593607</t>
        </is>
      </c>
      <c r="AW180" t="inlineStr">
        <is>
          <t>991002348569702656</t>
        </is>
      </c>
      <c r="AX180" t="inlineStr">
        <is>
          <t>991002348569702656</t>
        </is>
      </c>
      <c r="AY180" t="inlineStr">
        <is>
          <t>2260820320002656</t>
        </is>
      </c>
      <c r="AZ180" t="inlineStr">
        <is>
          <t>BOOK</t>
        </is>
      </c>
      <c r="BB180" t="inlineStr">
        <is>
          <t>9780849379147</t>
        </is>
      </c>
      <c r="BC180" t="inlineStr">
        <is>
          <t>32285002106366</t>
        </is>
      </c>
      <c r="BD180" t="inlineStr">
        <is>
          <t>893873397</t>
        </is>
      </c>
    </row>
    <row r="181">
      <c r="A181" t="inlineStr">
        <is>
          <t>No</t>
        </is>
      </c>
      <c r="B181" t="inlineStr">
        <is>
          <t>TX361.A8 N88 1998</t>
        </is>
      </c>
      <c r="C181" t="inlineStr">
        <is>
          <t>0                      TX 0361000A  8                  N  88          1998</t>
        </is>
      </c>
      <c r="D181" t="inlineStr">
        <is>
          <t>Nutrition in exercise and sport / edited by Ira Wolinsky.</t>
        </is>
      </c>
      <c r="F181" t="inlineStr">
        <is>
          <t>No</t>
        </is>
      </c>
      <c r="G181" t="inlineStr">
        <is>
          <t>1</t>
        </is>
      </c>
      <c r="H181" t="inlineStr">
        <is>
          <t>No</t>
        </is>
      </c>
      <c r="I181" t="inlineStr">
        <is>
          <t>Yes</t>
        </is>
      </c>
      <c r="J181" t="inlineStr">
        <is>
          <t>0</t>
        </is>
      </c>
      <c r="L181" t="inlineStr">
        <is>
          <t>Boca Raton : CRC Press, c1998.</t>
        </is>
      </c>
      <c r="M181" t="inlineStr">
        <is>
          <t>1998</t>
        </is>
      </c>
      <c r="N181" t="inlineStr">
        <is>
          <t>3rd ed.</t>
        </is>
      </c>
      <c r="O181" t="inlineStr">
        <is>
          <t>eng</t>
        </is>
      </c>
      <c r="P181" t="inlineStr">
        <is>
          <t>flu</t>
        </is>
      </c>
      <c r="Q181" t="inlineStr">
        <is>
          <t>Nutrition in exercise and sport</t>
        </is>
      </c>
      <c r="R181" t="inlineStr">
        <is>
          <t xml:space="preserve">TX </t>
        </is>
      </c>
      <c r="S181" t="n">
        <v>19</v>
      </c>
      <c r="T181" t="n">
        <v>19</v>
      </c>
      <c r="U181" t="inlineStr">
        <is>
          <t>2000-11-16</t>
        </is>
      </c>
      <c r="V181" t="inlineStr">
        <is>
          <t>2000-11-16</t>
        </is>
      </c>
      <c r="W181" t="inlineStr">
        <is>
          <t>1997-11-20</t>
        </is>
      </c>
      <c r="X181" t="inlineStr">
        <is>
          <t>1997-11-20</t>
        </is>
      </c>
      <c r="Y181" t="n">
        <v>671</v>
      </c>
      <c r="Z181" t="n">
        <v>546</v>
      </c>
      <c r="AA181" t="n">
        <v>864</v>
      </c>
      <c r="AB181" t="n">
        <v>4</v>
      </c>
      <c r="AC181" t="n">
        <v>6</v>
      </c>
      <c r="AD181" t="n">
        <v>26</v>
      </c>
      <c r="AE181" t="n">
        <v>30</v>
      </c>
      <c r="AF181" t="n">
        <v>14</v>
      </c>
      <c r="AG181" t="n">
        <v>15</v>
      </c>
      <c r="AH181" t="n">
        <v>5</v>
      </c>
      <c r="AI181" t="n">
        <v>5</v>
      </c>
      <c r="AJ181" t="n">
        <v>10</v>
      </c>
      <c r="AK181" t="n">
        <v>11</v>
      </c>
      <c r="AL181" t="n">
        <v>3</v>
      </c>
      <c r="AM181" t="n">
        <v>5</v>
      </c>
      <c r="AN181" t="n">
        <v>0</v>
      </c>
      <c r="AO181" t="n">
        <v>0</v>
      </c>
      <c r="AP181" t="inlineStr">
        <is>
          <t>No</t>
        </is>
      </c>
      <c r="AQ181" t="inlineStr">
        <is>
          <t>No</t>
        </is>
      </c>
      <c r="AS181">
        <f>HYPERLINK("https://creighton-primo.hosted.exlibrisgroup.com/primo-explore/search?tab=default_tab&amp;search_scope=EVERYTHING&amp;vid=01CRU&amp;lang=en_US&amp;offset=0&amp;query=any,contains,991002793669702656","Catalog Record")</f>
        <v/>
      </c>
      <c r="AT181">
        <f>HYPERLINK("http://www.worldcat.org/oclc/36682351","WorldCat Record")</f>
        <v/>
      </c>
      <c r="AU181" t="inlineStr">
        <is>
          <t>55692747:eng</t>
        </is>
      </c>
      <c r="AV181" t="inlineStr">
        <is>
          <t>36682351</t>
        </is>
      </c>
      <c r="AW181" t="inlineStr">
        <is>
          <t>991002793669702656</t>
        </is>
      </c>
      <c r="AX181" t="inlineStr">
        <is>
          <t>991002793669702656</t>
        </is>
      </c>
      <c r="AY181" t="inlineStr">
        <is>
          <t>2256468590002656</t>
        </is>
      </c>
      <c r="AZ181" t="inlineStr">
        <is>
          <t>BOOK</t>
        </is>
      </c>
      <c r="BB181" t="inlineStr">
        <is>
          <t>9780849385605</t>
        </is>
      </c>
      <c r="BC181" t="inlineStr">
        <is>
          <t>32285003272407</t>
        </is>
      </c>
      <c r="BD181" t="inlineStr">
        <is>
          <t>893886730</t>
        </is>
      </c>
    </row>
    <row r="182">
      <c r="A182" t="inlineStr">
        <is>
          <t>No</t>
        </is>
      </c>
      <c r="B182" t="inlineStr">
        <is>
          <t>TX361.A8 N89 2001</t>
        </is>
      </c>
      <c r="C182" t="inlineStr">
        <is>
          <t>0                      TX 0361000A  8                  N  89          2001</t>
        </is>
      </c>
      <c r="D182" t="inlineStr">
        <is>
          <t>Nutritional applications in exercise and sport / edited by Ira Wolinsky, Judy A. Driskell.</t>
        </is>
      </c>
      <c r="F182" t="inlineStr">
        <is>
          <t>No</t>
        </is>
      </c>
      <c r="G182" t="inlineStr">
        <is>
          <t>1</t>
        </is>
      </c>
      <c r="H182" t="inlineStr">
        <is>
          <t>No</t>
        </is>
      </c>
      <c r="I182" t="inlineStr">
        <is>
          <t>Yes</t>
        </is>
      </c>
      <c r="J182" t="inlineStr">
        <is>
          <t>0</t>
        </is>
      </c>
      <c r="L182" t="inlineStr">
        <is>
          <t>Boca Raton : CRC Press, c2001.</t>
        </is>
      </c>
      <c r="M182" t="inlineStr">
        <is>
          <t>2001</t>
        </is>
      </c>
      <c r="O182" t="inlineStr">
        <is>
          <t>eng</t>
        </is>
      </c>
      <c r="P182" t="inlineStr">
        <is>
          <t>flu</t>
        </is>
      </c>
      <c r="Q182" t="inlineStr">
        <is>
          <t>Nutrition in exercise and sport</t>
        </is>
      </c>
      <c r="R182" t="inlineStr">
        <is>
          <t xml:space="preserve">TX </t>
        </is>
      </c>
      <c r="S182" t="n">
        <v>2</v>
      </c>
      <c r="T182" t="n">
        <v>2</v>
      </c>
      <c r="U182" t="inlineStr">
        <is>
          <t>2001-12-05</t>
        </is>
      </c>
      <c r="V182" t="inlineStr">
        <is>
          <t>2001-12-05</t>
        </is>
      </c>
      <c r="W182" t="inlineStr">
        <is>
          <t>2001-12-04</t>
        </is>
      </c>
      <c r="X182" t="inlineStr">
        <is>
          <t>2001-12-04</t>
        </is>
      </c>
      <c r="Y182" t="n">
        <v>322</v>
      </c>
      <c r="Z182" t="n">
        <v>238</v>
      </c>
      <c r="AA182" t="n">
        <v>864</v>
      </c>
      <c r="AB182" t="n">
        <v>3</v>
      </c>
      <c r="AC182" t="n">
        <v>6</v>
      </c>
      <c r="AD182" t="n">
        <v>7</v>
      </c>
      <c r="AE182" t="n">
        <v>30</v>
      </c>
      <c r="AF182" t="n">
        <v>1</v>
      </c>
      <c r="AG182" t="n">
        <v>15</v>
      </c>
      <c r="AH182" t="n">
        <v>3</v>
      </c>
      <c r="AI182" t="n">
        <v>5</v>
      </c>
      <c r="AJ182" t="n">
        <v>2</v>
      </c>
      <c r="AK182" t="n">
        <v>11</v>
      </c>
      <c r="AL182" t="n">
        <v>2</v>
      </c>
      <c r="AM182" t="n">
        <v>5</v>
      </c>
      <c r="AN182" t="n">
        <v>0</v>
      </c>
      <c r="AO182" t="n">
        <v>0</v>
      </c>
      <c r="AP182" t="inlineStr">
        <is>
          <t>No</t>
        </is>
      </c>
      <c r="AQ182" t="inlineStr">
        <is>
          <t>No</t>
        </is>
      </c>
      <c r="AS182">
        <f>HYPERLINK("https://creighton-primo.hosted.exlibrisgroup.com/primo-explore/search?tab=default_tab&amp;search_scope=EVERYTHING&amp;vid=01CRU&amp;lang=en_US&amp;offset=0&amp;query=any,contains,991003664379702656","Catalog Record")</f>
        <v/>
      </c>
      <c r="AT182">
        <f>HYPERLINK("http://www.worldcat.org/oclc/44266422","WorldCat Record")</f>
        <v/>
      </c>
      <c r="AU182" t="inlineStr">
        <is>
          <t>55692747:eng</t>
        </is>
      </c>
      <c r="AV182" t="inlineStr">
        <is>
          <t>44266422</t>
        </is>
      </c>
      <c r="AW182" t="inlineStr">
        <is>
          <t>991003664379702656</t>
        </is>
      </c>
      <c r="AX182" t="inlineStr">
        <is>
          <t>991003664379702656</t>
        </is>
      </c>
      <c r="AY182" t="inlineStr">
        <is>
          <t>2265216420002656</t>
        </is>
      </c>
      <c r="AZ182" t="inlineStr">
        <is>
          <t>BOOK</t>
        </is>
      </c>
      <c r="BB182" t="inlineStr">
        <is>
          <t>9780849381997</t>
        </is>
      </c>
      <c r="BC182" t="inlineStr">
        <is>
          <t>32285004425699</t>
        </is>
      </c>
      <c r="BD182" t="inlineStr">
        <is>
          <t>893592746</t>
        </is>
      </c>
    </row>
    <row r="183">
      <c r="A183" t="inlineStr">
        <is>
          <t>No</t>
        </is>
      </c>
      <c r="B183" t="inlineStr">
        <is>
          <t>TX361.A8 S674 1995</t>
        </is>
      </c>
      <c r="C183" t="inlineStr">
        <is>
          <t>0                      TX 0361000A  8                  S  674         1995</t>
        </is>
      </c>
      <c r="D183" t="inlineStr">
        <is>
          <t>Sports nutrition : minerals and electrolytes / edited by Constance V. Kies, Judy A. Driskell.</t>
        </is>
      </c>
      <c r="F183" t="inlineStr">
        <is>
          <t>No</t>
        </is>
      </c>
      <c r="G183" t="inlineStr">
        <is>
          <t>1</t>
        </is>
      </c>
      <c r="H183" t="inlineStr">
        <is>
          <t>No</t>
        </is>
      </c>
      <c r="I183" t="inlineStr">
        <is>
          <t>No</t>
        </is>
      </c>
      <c r="J183" t="inlineStr">
        <is>
          <t>0</t>
        </is>
      </c>
      <c r="L183" t="inlineStr">
        <is>
          <t>Boca Raton : CRC Press, c1995.</t>
        </is>
      </c>
      <c r="M183" t="inlineStr">
        <is>
          <t>1995</t>
        </is>
      </c>
      <c r="O183" t="inlineStr">
        <is>
          <t>eng</t>
        </is>
      </c>
      <c r="P183" t="inlineStr">
        <is>
          <t>flu</t>
        </is>
      </c>
      <c r="Q183" t="inlineStr">
        <is>
          <t>CRC series on nutrition in exercise and sport</t>
        </is>
      </c>
      <c r="R183" t="inlineStr">
        <is>
          <t xml:space="preserve">TX </t>
        </is>
      </c>
      <c r="S183" t="n">
        <v>11</v>
      </c>
      <c r="T183" t="n">
        <v>11</v>
      </c>
      <c r="U183" t="inlineStr">
        <is>
          <t>1999-06-29</t>
        </is>
      </c>
      <c r="V183" t="inlineStr">
        <is>
          <t>1999-06-29</t>
        </is>
      </c>
      <c r="W183" t="inlineStr">
        <is>
          <t>1995-11-27</t>
        </is>
      </c>
      <c r="X183" t="inlineStr">
        <is>
          <t>1995-11-27</t>
        </is>
      </c>
      <c r="Y183" t="n">
        <v>342</v>
      </c>
      <c r="Z183" t="n">
        <v>267</v>
      </c>
      <c r="AA183" t="n">
        <v>272</v>
      </c>
      <c r="AB183" t="n">
        <v>4</v>
      </c>
      <c r="AC183" t="n">
        <v>4</v>
      </c>
      <c r="AD183" t="n">
        <v>15</v>
      </c>
      <c r="AE183" t="n">
        <v>15</v>
      </c>
      <c r="AF183" t="n">
        <v>8</v>
      </c>
      <c r="AG183" t="n">
        <v>8</v>
      </c>
      <c r="AH183" t="n">
        <v>4</v>
      </c>
      <c r="AI183" t="n">
        <v>4</v>
      </c>
      <c r="AJ183" t="n">
        <v>2</v>
      </c>
      <c r="AK183" t="n">
        <v>2</v>
      </c>
      <c r="AL183" t="n">
        <v>3</v>
      </c>
      <c r="AM183" t="n">
        <v>3</v>
      </c>
      <c r="AN183" t="n">
        <v>0</v>
      </c>
      <c r="AO183" t="n">
        <v>0</v>
      </c>
      <c r="AP183" t="inlineStr">
        <is>
          <t>No</t>
        </is>
      </c>
      <c r="AQ183" t="inlineStr">
        <is>
          <t>No</t>
        </is>
      </c>
      <c r="AS183">
        <f>HYPERLINK("https://creighton-primo.hosted.exlibrisgroup.com/primo-explore/search?tab=default_tab&amp;search_scope=EVERYTHING&amp;vid=01CRU&amp;lang=en_US&amp;offset=0&amp;query=any,contains,991002349979702656","Catalog Record")</f>
        <v/>
      </c>
      <c r="AT183">
        <f>HYPERLINK("http://www.worldcat.org/oclc/30594684","WorldCat Record")</f>
        <v/>
      </c>
      <c r="AU183" t="inlineStr">
        <is>
          <t>3752817910:eng</t>
        </is>
      </c>
      <c r="AV183" t="inlineStr">
        <is>
          <t>30594684</t>
        </is>
      </c>
      <c r="AW183" t="inlineStr">
        <is>
          <t>991002349979702656</t>
        </is>
      </c>
      <c r="AX183" t="inlineStr">
        <is>
          <t>991002349979702656</t>
        </is>
      </c>
      <c r="AY183" t="inlineStr">
        <is>
          <t>2263867570002656</t>
        </is>
      </c>
      <c r="AZ183" t="inlineStr">
        <is>
          <t>BOOK</t>
        </is>
      </c>
      <c r="BB183" t="inlineStr">
        <is>
          <t>9780849379161</t>
        </is>
      </c>
      <c r="BC183" t="inlineStr">
        <is>
          <t>32285002106333</t>
        </is>
      </c>
      <c r="BD183" t="inlineStr">
        <is>
          <t>893603478</t>
        </is>
      </c>
    </row>
    <row r="184">
      <c r="A184" t="inlineStr">
        <is>
          <t>No</t>
        </is>
      </c>
      <c r="B184" t="inlineStr">
        <is>
          <t>TX371 .R62 1987</t>
        </is>
      </c>
      <c r="C184" t="inlineStr">
        <is>
          <t>0                      TX 0371000R  62          1987</t>
        </is>
      </c>
      <c r="D184" t="inlineStr">
        <is>
          <t>Diet for a new America / John Robbins.</t>
        </is>
      </c>
      <c r="F184" t="inlineStr">
        <is>
          <t>No</t>
        </is>
      </c>
      <c r="G184" t="inlineStr">
        <is>
          <t>1</t>
        </is>
      </c>
      <c r="H184" t="inlineStr">
        <is>
          <t>No</t>
        </is>
      </c>
      <c r="I184" t="inlineStr">
        <is>
          <t>No</t>
        </is>
      </c>
      <c r="J184" t="inlineStr">
        <is>
          <t>0</t>
        </is>
      </c>
      <c r="K184" t="inlineStr">
        <is>
          <t>Robbins, John.</t>
        </is>
      </c>
      <c r="L184" t="inlineStr">
        <is>
          <t>Walpole, NH : Stillpoint, c1987.</t>
        </is>
      </c>
      <c r="M184" t="inlineStr">
        <is>
          <t>1987</t>
        </is>
      </c>
      <c r="O184" t="inlineStr">
        <is>
          <t>eng</t>
        </is>
      </c>
      <c r="P184" t="inlineStr">
        <is>
          <t>nhu</t>
        </is>
      </c>
      <c r="R184" t="inlineStr">
        <is>
          <t xml:space="preserve">TX </t>
        </is>
      </c>
      <c r="S184" t="n">
        <v>35</v>
      </c>
      <c r="T184" t="n">
        <v>35</v>
      </c>
      <c r="U184" t="inlineStr">
        <is>
          <t>2010-12-07</t>
        </is>
      </c>
      <c r="V184" t="inlineStr">
        <is>
          <t>2010-12-07</t>
        </is>
      </c>
      <c r="W184" t="inlineStr">
        <is>
          <t>1991-09-24</t>
        </is>
      </c>
      <c r="X184" t="inlineStr">
        <is>
          <t>1991-09-24</t>
        </is>
      </c>
      <c r="Y184" t="n">
        <v>789</v>
      </c>
      <c r="Z184" t="n">
        <v>733</v>
      </c>
      <c r="AA184" t="n">
        <v>1239</v>
      </c>
      <c r="AB184" t="n">
        <v>2</v>
      </c>
      <c r="AC184" t="n">
        <v>6</v>
      </c>
      <c r="AD184" t="n">
        <v>16</v>
      </c>
      <c r="AE184" t="n">
        <v>21</v>
      </c>
      <c r="AF184" t="n">
        <v>8</v>
      </c>
      <c r="AG184" t="n">
        <v>9</v>
      </c>
      <c r="AH184" t="n">
        <v>3</v>
      </c>
      <c r="AI184" t="n">
        <v>4</v>
      </c>
      <c r="AJ184" t="n">
        <v>9</v>
      </c>
      <c r="AK184" t="n">
        <v>12</v>
      </c>
      <c r="AL184" t="n">
        <v>1</v>
      </c>
      <c r="AM184" t="n">
        <v>2</v>
      </c>
      <c r="AN184" t="n">
        <v>2</v>
      </c>
      <c r="AO184" t="n">
        <v>2</v>
      </c>
      <c r="AP184" t="inlineStr">
        <is>
          <t>No</t>
        </is>
      </c>
      <c r="AQ184" t="inlineStr">
        <is>
          <t>Yes</t>
        </is>
      </c>
      <c r="AR184">
        <f>HYPERLINK("http://catalog.hathitrust.org/Record/004476202","HathiTrust Record")</f>
        <v/>
      </c>
      <c r="AS184">
        <f>HYPERLINK("https://creighton-primo.hosted.exlibrisgroup.com/primo-explore/search?tab=default_tab&amp;search_scope=EVERYTHING&amp;vid=01CRU&amp;lang=en_US&amp;offset=0&amp;query=any,contains,991001129139702656","Catalog Record")</f>
        <v/>
      </c>
      <c r="AT184">
        <f>HYPERLINK("http://www.worldcat.org/oclc/16678142","WorldCat Record")</f>
        <v/>
      </c>
      <c r="AU184" t="inlineStr">
        <is>
          <t>183665180:eng</t>
        </is>
      </c>
      <c r="AV184" t="inlineStr">
        <is>
          <t>16678142</t>
        </is>
      </c>
      <c r="AW184" t="inlineStr">
        <is>
          <t>991001129139702656</t>
        </is>
      </c>
      <c r="AX184" t="inlineStr">
        <is>
          <t>991001129139702656</t>
        </is>
      </c>
      <c r="AY184" t="inlineStr">
        <is>
          <t>2262912670002656</t>
        </is>
      </c>
      <c r="AZ184" t="inlineStr">
        <is>
          <t>BOOK</t>
        </is>
      </c>
      <c r="BB184" t="inlineStr">
        <is>
          <t>9780913299548</t>
        </is>
      </c>
      <c r="BC184" t="inlineStr">
        <is>
          <t>32285000704949</t>
        </is>
      </c>
      <c r="BD184" t="inlineStr">
        <is>
          <t>893243879</t>
        </is>
      </c>
    </row>
    <row r="185">
      <c r="A185" t="inlineStr">
        <is>
          <t>No</t>
        </is>
      </c>
      <c r="B185" t="inlineStr">
        <is>
          <t>TX392 .B44 1982</t>
        </is>
      </c>
      <c r="C185" t="inlineStr">
        <is>
          <t>0                      TX 0392000B  44          1982</t>
        </is>
      </c>
      <c r="D185" t="inlineStr">
        <is>
          <t>Vegetarianism and the Jewish tradition / by Louis A. Berman.</t>
        </is>
      </c>
      <c r="F185" t="inlineStr">
        <is>
          <t>No</t>
        </is>
      </c>
      <c r="G185" t="inlineStr">
        <is>
          <t>1</t>
        </is>
      </c>
      <c r="H185" t="inlineStr">
        <is>
          <t>No</t>
        </is>
      </c>
      <c r="I185" t="inlineStr">
        <is>
          <t>No</t>
        </is>
      </c>
      <c r="J185" t="inlineStr">
        <is>
          <t>0</t>
        </is>
      </c>
      <c r="K185" t="inlineStr">
        <is>
          <t>Berman, Louis Arthur.</t>
        </is>
      </c>
      <c r="L185" t="inlineStr">
        <is>
          <t>New York : Ktav Pub. House, 1982.</t>
        </is>
      </c>
      <c r="M185" t="inlineStr">
        <is>
          <t>1982</t>
        </is>
      </c>
      <c r="O185" t="inlineStr">
        <is>
          <t>eng</t>
        </is>
      </c>
      <c r="P185" t="inlineStr">
        <is>
          <t>nyu</t>
        </is>
      </c>
      <c r="R185" t="inlineStr">
        <is>
          <t xml:space="preserve">TX </t>
        </is>
      </c>
      <c r="S185" t="n">
        <v>12</v>
      </c>
      <c r="T185" t="n">
        <v>12</v>
      </c>
      <c r="U185" t="inlineStr">
        <is>
          <t>2005-02-02</t>
        </is>
      </c>
      <c r="V185" t="inlineStr">
        <is>
          <t>2005-02-02</t>
        </is>
      </c>
      <c r="W185" t="inlineStr">
        <is>
          <t>1991-10-23</t>
        </is>
      </c>
      <c r="X185" t="inlineStr">
        <is>
          <t>1991-10-23</t>
        </is>
      </c>
      <c r="Y185" t="n">
        <v>182</v>
      </c>
      <c r="Z185" t="n">
        <v>152</v>
      </c>
      <c r="AA185" t="n">
        <v>152</v>
      </c>
      <c r="AB185" t="n">
        <v>1</v>
      </c>
      <c r="AC185" t="n">
        <v>1</v>
      </c>
      <c r="AD185" t="n">
        <v>6</v>
      </c>
      <c r="AE185" t="n">
        <v>6</v>
      </c>
      <c r="AF185" t="n">
        <v>3</v>
      </c>
      <c r="AG185" t="n">
        <v>3</v>
      </c>
      <c r="AH185" t="n">
        <v>1</v>
      </c>
      <c r="AI185" t="n">
        <v>1</v>
      </c>
      <c r="AJ185" t="n">
        <v>5</v>
      </c>
      <c r="AK185" t="n">
        <v>5</v>
      </c>
      <c r="AL185" t="n">
        <v>0</v>
      </c>
      <c r="AM185" t="n">
        <v>0</v>
      </c>
      <c r="AN185" t="n">
        <v>0</v>
      </c>
      <c r="AO185" t="n">
        <v>0</v>
      </c>
      <c r="AP185" t="inlineStr">
        <is>
          <t>No</t>
        </is>
      </c>
      <c r="AQ185" t="inlineStr">
        <is>
          <t>No</t>
        </is>
      </c>
      <c r="AS185">
        <f>HYPERLINK("https://creighton-primo.hosted.exlibrisgroup.com/primo-explore/search?tab=default_tab&amp;search_scope=EVERYTHING&amp;vid=01CRU&amp;lang=en_US&amp;offset=0&amp;query=any,contains,991005159799702656","Catalog Record")</f>
        <v/>
      </c>
      <c r="AT185">
        <f>HYPERLINK("http://www.worldcat.org/oclc/7773954","WorldCat Record")</f>
        <v/>
      </c>
      <c r="AU185" t="inlineStr">
        <is>
          <t>515840:eng</t>
        </is>
      </c>
      <c r="AV185" t="inlineStr">
        <is>
          <t>7773954</t>
        </is>
      </c>
      <c r="AW185" t="inlineStr">
        <is>
          <t>991005159799702656</t>
        </is>
      </c>
      <c r="AX185" t="inlineStr">
        <is>
          <t>991005159799702656</t>
        </is>
      </c>
      <c r="AY185" t="inlineStr">
        <is>
          <t>2269276780002656</t>
        </is>
      </c>
      <c r="AZ185" t="inlineStr">
        <is>
          <t>BOOK</t>
        </is>
      </c>
      <c r="BB185" t="inlineStr">
        <is>
          <t>9780870687563</t>
        </is>
      </c>
      <c r="BC185" t="inlineStr">
        <is>
          <t>32285000779388</t>
        </is>
      </c>
      <c r="BD185" t="inlineStr">
        <is>
          <t>893446611</t>
        </is>
      </c>
    </row>
    <row r="186">
      <c r="A186" t="inlineStr">
        <is>
          <t>No</t>
        </is>
      </c>
      <c r="B186" t="inlineStr">
        <is>
          <t>TX392 .B72 1981</t>
        </is>
      </c>
      <c r="C186" t="inlineStr">
        <is>
          <t>0                      TX 0392000B  72          1981</t>
        </is>
      </c>
      <c r="D186" t="inlineStr">
        <is>
          <t>Radical vegetarianism : a dialectic of diet and ethic / Mark Mathew Braunstein.</t>
        </is>
      </c>
      <c r="F186" t="inlineStr">
        <is>
          <t>No</t>
        </is>
      </c>
      <c r="G186" t="inlineStr">
        <is>
          <t>1</t>
        </is>
      </c>
      <c r="H186" t="inlineStr">
        <is>
          <t>No</t>
        </is>
      </c>
      <c r="I186" t="inlineStr">
        <is>
          <t>No</t>
        </is>
      </c>
      <c r="J186" t="inlineStr">
        <is>
          <t>0</t>
        </is>
      </c>
      <c r="K186" t="inlineStr">
        <is>
          <t>Braunstein, Mark Mathew, 1951-</t>
        </is>
      </c>
      <c r="L186" t="inlineStr">
        <is>
          <t>Los Angeles : Panjandrum Books, 1981.</t>
        </is>
      </c>
      <c r="M186" t="inlineStr">
        <is>
          <t>1981</t>
        </is>
      </c>
      <c r="O186" t="inlineStr">
        <is>
          <t>eng</t>
        </is>
      </c>
      <c r="P186" t="inlineStr">
        <is>
          <t>cau</t>
        </is>
      </c>
      <c r="R186" t="inlineStr">
        <is>
          <t xml:space="preserve">TX </t>
        </is>
      </c>
      <c r="S186" t="n">
        <v>41</v>
      </c>
      <c r="T186" t="n">
        <v>41</v>
      </c>
      <c r="U186" t="inlineStr">
        <is>
          <t>2007-03-13</t>
        </is>
      </c>
      <c r="V186" t="inlineStr">
        <is>
          <t>2007-03-13</t>
        </is>
      </c>
      <c r="W186" t="inlineStr">
        <is>
          <t>1991-10-23</t>
        </is>
      </c>
      <c r="X186" t="inlineStr">
        <is>
          <t>1991-10-23</t>
        </is>
      </c>
      <c r="Y186" t="n">
        <v>54</v>
      </c>
      <c r="Z186" t="n">
        <v>50</v>
      </c>
      <c r="AA186" t="n">
        <v>81</v>
      </c>
      <c r="AB186" t="n">
        <v>1</v>
      </c>
      <c r="AC186" t="n">
        <v>1</v>
      </c>
      <c r="AD186" t="n">
        <v>0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  <c r="AL186" t="n">
        <v>0</v>
      </c>
      <c r="AM186" t="n">
        <v>0</v>
      </c>
      <c r="AN186" t="n">
        <v>0</v>
      </c>
      <c r="AO186" t="n">
        <v>0</v>
      </c>
      <c r="AP186" t="inlineStr">
        <is>
          <t>No</t>
        </is>
      </c>
      <c r="AQ186" t="inlineStr">
        <is>
          <t>Yes</t>
        </is>
      </c>
      <c r="AR186">
        <f>HYPERLINK("http://catalog.hathitrust.org/Record/101901218","HathiTrust Record")</f>
        <v/>
      </c>
      <c r="AS186">
        <f>HYPERLINK("https://creighton-primo.hosted.exlibrisgroup.com/primo-explore/search?tab=default_tab&amp;search_scope=EVERYTHING&amp;vid=01CRU&amp;lang=en_US&amp;offset=0&amp;query=any,contains,991005099189702656","Catalog Record")</f>
        <v/>
      </c>
      <c r="AT186">
        <f>HYPERLINK("http://www.worldcat.org/oclc/7279288","WorldCat Record")</f>
        <v/>
      </c>
      <c r="AU186" t="inlineStr">
        <is>
          <t>560087:eng</t>
        </is>
      </c>
      <c r="AV186" t="inlineStr">
        <is>
          <t>7279288</t>
        </is>
      </c>
      <c r="AW186" t="inlineStr">
        <is>
          <t>991005099189702656</t>
        </is>
      </c>
      <c r="AX186" t="inlineStr">
        <is>
          <t>991005099189702656</t>
        </is>
      </c>
      <c r="AY186" t="inlineStr">
        <is>
          <t>2262258060002656</t>
        </is>
      </c>
      <c r="AZ186" t="inlineStr">
        <is>
          <t>BOOK</t>
        </is>
      </c>
      <c r="BB186" t="inlineStr">
        <is>
          <t>9780915572373</t>
        </is>
      </c>
      <c r="BC186" t="inlineStr">
        <is>
          <t>32285000779370</t>
        </is>
      </c>
      <c r="BD186" t="inlineStr">
        <is>
          <t>893344638</t>
        </is>
      </c>
    </row>
    <row r="187">
      <c r="A187" t="inlineStr">
        <is>
          <t>No</t>
        </is>
      </c>
      <c r="B187" t="inlineStr">
        <is>
          <t>TX392 .D65 1985</t>
        </is>
      </c>
      <c r="C187" t="inlineStr">
        <is>
          <t>0                      TX 0392000D  65          1985</t>
        </is>
      </c>
      <c r="D187" t="inlineStr">
        <is>
          <t>Vegetarianism : the philosophy behind the ethical diet / by Daniel A. Dombrowski.</t>
        </is>
      </c>
      <c r="F187" t="inlineStr">
        <is>
          <t>No</t>
        </is>
      </c>
      <c r="G187" t="inlineStr">
        <is>
          <t>1</t>
        </is>
      </c>
      <c r="H187" t="inlineStr">
        <is>
          <t>No</t>
        </is>
      </c>
      <c r="I187" t="inlineStr">
        <is>
          <t>No</t>
        </is>
      </c>
      <c r="J187" t="inlineStr">
        <is>
          <t>0</t>
        </is>
      </c>
      <c r="K187" t="inlineStr">
        <is>
          <t>Dombrowski, Daniel A.</t>
        </is>
      </c>
      <c r="L187" t="inlineStr">
        <is>
          <t>Wellingborough : Thorsons, 1985, c1984.</t>
        </is>
      </c>
      <c r="M187" t="inlineStr">
        <is>
          <t>1985</t>
        </is>
      </c>
      <c r="O187" t="inlineStr">
        <is>
          <t>eng</t>
        </is>
      </c>
      <c r="P187" t="inlineStr">
        <is>
          <t>enk</t>
        </is>
      </c>
      <c r="R187" t="inlineStr">
        <is>
          <t xml:space="preserve">TX </t>
        </is>
      </c>
      <c r="S187" t="n">
        <v>19</v>
      </c>
      <c r="T187" t="n">
        <v>19</v>
      </c>
      <c r="U187" t="inlineStr">
        <is>
          <t>2008-05-21</t>
        </is>
      </c>
      <c r="V187" t="inlineStr">
        <is>
          <t>2008-05-21</t>
        </is>
      </c>
      <c r="W187" t="inlineStr">
        <is>
          <t>1992-01-08</t>
        </is>
      </c>
      <c r="X187" t="inlineStr">
        <is>
          <t>1992-01-08</t>
        </is>
      </c>
      <c r="Y187" t="n">
        <v>29</v>
      </c>
      <c r="Z187" t="n">
        <v>4</v>
      </c>
      <c r="AA187" t="n">
        <v>4</v>
      </c>
      <c r="AB187" t="n">
        <v>1</v>
      </c>
      <c r="AC187" t="n">
        <v>1</v>
      </c>
      <c r="AD187" t="n">
        <v>0</v>
      </c>
      <c r="AE187" t="n">
        <v>0</v>
      </c>
      <c r="AF187" t="n">
        <v>0</v>
      </c>
      <c r="AG187" t="n">
        <v>0</v>
      </c>
      <c r="AH187" t="n">
        <v>0</v>
      </c>
      <c r="AI187" t="n">
        <v>0</v>
      </c>
      <c r="AJ187" t="n">
        <v>0</v>
      </c>
      <c r="AK187" t="n">
        <v>0</v>
      </c>
      <c r="AL187" t="n">
        <v>0</v>
      </c>
      <c r="AM187" t="n">
        <v>0</v>
      </c>
      <c r="AN187" t="n">
        <v>0</v>
      </c>
      <c r="AO187" t="n">
        <v>0</v>
      </c>
      <c r="AP187" t="inlineStr">
        <is>
          <t>No</t>
        </is>
      </c>
      <c r="AQ187" t="inlineStr">
        <is>
          <t>No</t>
        </is>
      </c>
      <c r="AS187">
        <f>HYPERLINK("https://creighton-primo.hosted.exlibrisgroup.com/primo-explore/search?tab=default_tab&amp;search_scope=EVERYTHING&amp;vid=01CRU&amp;lang=en_US&amp;offset=0&amp;query=any,contains,991000692989702656","Catalog Record")</f>
        <v/>
      </c>
      <c r="AT187">
        <f>HYPERLINK("http://www.worldcat.org/oclc/12503345","WorldCat Record")</f>
        <v/>
      </c>
      <c r="AU187" t="inlineStr">
        <is>
          <t>1806279556:eng</t>
        </is>
      </c>
      <c r="AV187" t="inlineStr">
        <is>
          <t>12503345</t>
        </is>
      </c>
      <c r="AW187" t="inlineStr">
        <is>
          <t>991000692989702656</t>
        </is>
      </c>
      <c r="AX187" t="inlineStr">
        <is>
          <t>991000692989702656</t>
        </is>
      </c>
      <c r="AY187" t="inlineStr">
        <is>
          <t>2259275820002656</t>
        </is>
      </c>
      <c r="AZ187" t="inlineStr">
        <is>
          <t>BOOK</t>
        </is>
      </c>
      <c r="BB187" t="inlineStr">
        <is>
          <t>9780722511282</t>
        </is>
      </c>
      <c r="BC187" t="inlineStr">
        <is>
          <t>32285000884477</t>
        </is>
      </c>
      <c r="BD187" t="inlineStr">
        <is>
          <t>893438503</t>
        </is>
      </c>
    </row>
    <row r="188">
      <c r="A188" t="inlineStr">
        <is>
          <t>No</t>
        </is>
      </c>
      <c r="B188" t="inlineStr">
        <is>
          <t>TX392 .F79 1999</t>
        </is>
      </c>
      <c r="C188" t="inlineStr">
        <is>
          <t>0                      TX 0392000F  79          1999</t>
        </is>
      </c>
      <c r="D188" t="inlineStr">
        <is>
          <t>Deep vegetarianism / Michael Allen Fox.</t>
        </is>
      </c>
      <c r="F188" t="inlineStr">
        <is>
          <t>No</t>
        </is>
      </c>
      <c r="G188" t="inlineStr">
        <is>
          <t>1</t>
        </is>
      </c>
      <c r="H188" t="inlineStr">
        <is>
          <t>No</t>
        </is>
      </c>
      <c r="I188" t="inlineStr">
        <is>
          <t>No</t>
        </is>
      </c>
      <c r="J188" t="inlineStr">
        <is>
          <t>0</t>
        </is>
      </c>
      <c r="K188" t="inlineStr">
        <is>
          <t>Fox, Michael Allen.</t>
        </is>
      </c>
      <c r="L188" t="inlineStr">
        <is>
          <t>Philadelphia : Temple University Press, c1999.</t>
        </is>
      </c>
      <c r="M188" t="inlineStr">
        <is>
          <t>1999</t>
        </is>
      </c>
      <c r="O188" t="inlineStr">
        <is>
          <t>eng</t>
        </is>
      </c>
      <c r="P188" t="inlineStr">
        <is>
          <t>pau</t>
        </is>
      </c>
      <c r="Q188" t="inlineStr">
        <is>
          <t>America in transition</t>
        </is>
      </c>
      <c r="R188" t="inlineStr">
        <is>
          <t xml:space="preserve">TX </t>
        </is>
      </c>
      <c r="S188" t="n">
        <v>19</v>
      </c>
      <c r="T188" t="n">
        <v>19</v>
      </c>
      <c r="U188" t="inlineStr">
        <is>
          <t>2010-11-06</t>
        </is>
      </c>
      <c r="V188" t="inlineStr">
        <is>
          <t>2010-11-06</t>
        </is>
      </c>
      <c r="W188" t="inlineStr">
        <is>
          <t>2001-10-29</t>
        </is>
      </c>
      <c r="X188" t="inlineStr">
        <is>
          <t>2001-10-29</t>
        </is>
      </c>
      <c r="Y188" t="n">
        <v>322</v>
      </c>
      <c r="Z188" t="n">
        <v>282</v>
      </c>
      <c r="AA188" t="n">
        <v>942</v>
      </c>
      <c r="AB188" t="n">
        <v>3</v>
      </c>
      <c r="AC188" t="n">
        <v>42</v>
      </c>
      <c r="AD188" t="n">
        <v>11</v>
      </c>
      <c r="AE188" t="n">
        <v>29</v>
      </c>
      <c r="AF188" t="n">
        <v>4</v>
      </c>
      <c r="AG188" t="n">
        <v>10</v>
      </c>
      <c r="AH188" t="n">
        <v>5</v>
      </c>
      <c r="AI188" t="n">
        <v>7</v>
      </c>
      <c r="AJ188" t="n">
        <v>4</v>
      </c>
      <c r="AK188" t="n">
        <v>8</v>
      </c>
      <c r="AL188" t="n">
        <v>2</v>
      </c>
      <c r="AM188" t="n">
        <v>11</v>
      </c>
      <c r="AN188" t="n">
        <v>0</v>
      </c>
      <c r="AO188" t="n">
        <v>0</v>
      </c>
      <c r="AP188" t="inlineStr">
        <is>
          <t>No</t>
        </is>
      </c>
      <c r="AQ188" t="inlineStr">
        <is>
          <t>No</t>
        </is>
      </c>
      <c r="AS188">
        <f>HYPERLINK("https://creighton-primo.hosted.exlibrisgroup.com/primo-explore/search?tab=default_tab&amp;search_scope=EVERYTHING&amp;vid=01CRU&amp;lang=en_US&amp;offset=0&amp;query=any,contains,991003626929702656","Catalog Record")</f>
        <v/>
      </c>
      <c r="AT188">
        <f>HYPERLINK("http://www.worldcat.org/oclc/40489353","WorldCat Record")</f>
        <v/>
      </c>
      <c r="AU188" t="inlineStr">
        <is>
          <t>8908784090:eng</t>
        </is>
      </c>
      <c r="AV188" t="inlineStr">
        <is>
          <t>40489353</t>
        </is>
      </c>
      <c r="AW188" t="inlineStr">
        <is>
          <t>991003626929702656</t>
        </is>
      </c>
      <c r="AX188" t="inlineStr">
        <is>
          <t>991003626929702656</t>
        </is>
      </c>
      <c r="AY188" t="inlineStr">
        <is>
          <t>2264065240002656</t>
        </is>
      </c>
      <c r="AZ188" t="inlineStr">
        <is>
          <t>BOOK</t>
        </is>
      </c>
      <c r="BB188" t="inlineStr">
        <is>
          <t>9781566397049</t>
        </is>
      </c>
      <c r="BC188" t="inlineStr">
        <is>
          <t>32285004416094</t>
        </is>
      </c>
      <c r="BD188" t="inlineStr">
        <is>
          <t>893868640</t>
        </is>
      </c>
    </row>
    <row r="189">
      <c r="A189" t="inlineStr">
        <is>
          <t>No</t>
        </is>
      </c>
      <c r="B189" t="inlineStr">
        <is>
          <t>TX392 .F85 1983</t>
        </is>
      </c>
      <c r="C189" t="inlineStr">
        <is>
          <t>0                      TX 0392000F  85          1983</t>
        </is>
      </c>
      <c r="D189" t="inlineStr">
        <is>
          <t>Rights, killing, and suffering : moral vegetarianism and applied ethics / R.G. Frey.</t>
        </is>
      </c>
      <c r="F189" t="inlineStr">
        <is>
          <t>No</t>
        </is>
      </c>
      <c r="G189" t="inlineStr">
        <is>
          <t>1</t>
        </is>
      </c>
      <c r="H189" t="inlineStr">
        <is>
          <t>No</t>
        </is>
      </c>
      <c r="I189" t="inlineStr">
        <is>
          <t>No</t>
        </is>
      </c>
      <c r="J189" t="inlineStr">
        <is>
          <t>0</t>
        </is>
      </c>
      <c r="K189" t="inlineStr">
        <is>
          <t>Frey, R. G. (Raymond Gillespie)</t>
        </is>
      </c>
      <c r="L189" t="inlineStr">
        <is>
          <t>Oxford, England : B. Blackwell, 1983.</t>
        </is>
      </c>
      <c r="M189" t="inlineStr">
        <is>
          <t>1983</t>
        </is>
      </c>
      <c r="O189" t="inlineStr">
        <is>
          <t>eng</t>
        </is>
      </c>
      <c r="P189" t="inlineStr">
        <is>
          <t>enk</t>
        </is>
      </c>
      <c r="R189" t="inlineStr">
        <is>
          <t xml:space="preserve">TX </t>
        </is>
      </c>
      <c r="S189" t="n">
        <v>32</v>
      </c>
      <c r="T189" t="n">
        <v>32</v>
      </c>
      <c r="U189" t="inlineStr">
        <is>
          <t>2007-03-13</t>
        </is>
      </c>
      <c r="V189" t="inlineStr">
        <is>
          <t>2007-03-13</t>
        </is>
      </c>
      <c r="W189" t="inlineStr">
        <is>
          <t>1992-02-26</t>
        </is>
      </c>
      <c r="X189" t="inlineStr">
        <is>
          <t>1992-02-26</t>
        </is>
      </c>
      <c r="Y189" t="n">
        <v>469</v>
      </c>
      <c r="Z189" t="n">
        <v>308</v>
      </c>
      <c r="AA189" t="n">
        <v>314</v>
      </c>
      <c r="AB189" t="n">
        <v>3</v>
      </c>
      <c r="AC189" t="n">
        <v>3</v>
      </c>
      <c r="AD189" t="n">
        <v>17</v>
      </c>
      <c r="AE189" t="n">
        <v>17</v>
      </c>
      <c r="AF189" t="n">
        <v>4</v>
      </c>
      <c r="AG189" t="n">
        <v>4</v>
      </c>
      <c r="AH189" t="n">
        <v>5</v>
      </c>
      <c r="AI189" t="n">
        <v>5</v>
      </c>
      <c r="AJ189" t="n">
        <v>11</v>
      </c>
      <c r="AK189" t="n">
        <v>11</v>
      </c>
      <c r="AL189" t="n">
        <v>2</v>
      </c>
      <c r="AM189" t="n">
        <v>2</v>
      </c>
      <c r="AN189" t="n">
        <v>0</v>
      </c>
      <c r="AO189" t="n">
        <v>0</v>
      </c>
      <c r="AP189" t="inlineStr">
        <is>
          <t>No</t>
        </is>
      </c>
      <c r="AQ189" t="inlineStr">
        <is>
          <t>No</t>
        </is>
      </c>
      <c r="AS189">
        <f>HYPERLINK("https://creighton-primo.hosted.exlibrisgroup.com/primo-explore/search?tab=default_tab&amp;search_scope=EVERYTHING&amp;vid=01CRU&amp;lang=en_US&amp;offset=0&amp;query=any,contains,991000552679702656","Catalog Record")</f>
        <v/>
      </c>
      <c r="AT189">
        <f>HYPERLINK("http://www.worldcat.org/oclc/11548324","WorldCat Record")</f>
        <v/>
      </c>
      <c r="AU189" t="inlineStr">
        <is>
          <t>836694937:eng</t>
        </is>
      </c>
      <c r="AV189" t="inlineStr">
        <is>
          <t>11548324</t>
        </is>
      </c>
      <c r="AW189" t="inlineStr">
        <is>
          <t>991000552679702656</t>
        </is>
      </c>
      <c r="AX189" t="inlineStr">
        <is>
          <t>991000552679702656</t>
        </is>
      </c>
      <c r="AY189" t="inlineStr">
        <is>
          <t>2260009220002656</t>
        </is>
      </c>
      <c r="AZ189" t="inlineStr">
        <is>
          <t>BOOK</t>
        </is>
      </c>
      <c r="BB189" t="inlineStr">
        <is>
          <t>9780631126843</t>
        </is>
      </c>
      <c r="BC189" t="inlineStr">
        <is>
          <t>32285000978030</t>
        </is>
      </c>
      <c r="BD189" t="inlineStr">
        <is>
          <t>893438362</t>
        </is>
      </c>
    </row>
    <row r="190">
      <c r="A190" t="inlineStr">
        <is>
          <t>No</t>
        </is>
      </c>
      <c r="B190" t="inlineStr">
        <is>
          <t>TX392 .H528 1996</t>
        </is>
      </c>
      <c r="C190" t="inlineStr">
        <is>
          <t>0                      TX 0392000H  528         1996</t>
        </is>
      </c>
      <c r="D190" t="inlineStr">
        <is>
          <t>The case for vegetarianism : philosophy for a small planet / John Lawrence Hill.</t>
        </is>
      </c>
      <c r="F190" t="inlineStr">
        <is>
          <t>No</t>
        </is>
      </c>
      <c r="G190" t="inlineStr">
        <is>
          <t>1</t>
        </is>
      </c>
      <c r="H190" t="inlineStr">
        <is>
          <t>No</t>
        </is>
      </c>
      <c r="I190" t="inlineStr">
        <is>
          <t>No</t>
        </is>
      </c>
      <c r="J190" t="inlineStr">
        <is>
          <t>0</t>
        </is>
      </c>
      <c r="K190" t="inlineStr">
        <is>
          <t>Hill, John L. (John Lawrence), 1960-</t>
        </is>
      </c>
      <c r="L190" t="inlineStr">
        <is>
          <t>Lanham, Md. : Rowman &amp; Littlefield Publishers, c1996.</t>
        </is>
      </c>
      <c r="M190" t="inlineStr">
        <is>
          <t>1996</t>
        </is>
      </c>
      <c r="O190" t="inlineStr">
        <is>
          <t>eng</t>
        </is>
      </c>
      <c r="P190" t="inlineStr">
        <is>
          <t>mdu</t>
        </is>
      </c>
      <c r="R190" t="inlineStr">
        <is>
          <t xml:space="preserve">TX </t>
        </is>
      </c>
      <c r="S190" t="n">
        <v>34</v>
      </c>
      <c r="T190" t="n">
        <v>34</v>
      </c>
      <c r="U190" t="inlineStr">
        <is>
          <t>2009-04-01</t>
        </is>
      </c>
      <c r="V190" t="inlineStr">
        <is>
          <t>2009-04-01</t>
        </is>
      </c>
      <c r="W190" t="inlineStr">
        <is>
          <t>1996-05-10</t>
        </is>
      </c>
      <c r="X190" t="inlineStr">
        <is>
          <t>1996-05-10</t>
        </is>
      </c>
      <c r="Y190" t="n">
        <v>346</v>
      </c>
      <c r="Z190" t="n">
        <v>298</v>
      </c>
      <c r="AA190" t="n">
        <v>331</v>
      </c>
      <c r="AB190" t="n">
        <v>3</v>
      </c>
      <c r="AC190" t="n">
        <v>3</v>
      </c>
      <c r="AD190" t="n">
        <v>13</v>
      </c>
      <c r="AE190" t="n">
        <v>16</v>
      </c>
      <c r="AF190" t="n">
        <v>5</v>
      </c>
      <c r="AG190" t="n">
        <v>6</v>
      </c>
      <c r="AH190" t="n">
        <v>5</v>
      </c>
      <c r="AI190" t="n">
        <v>6</v>
      </c>
      <c r="AJ190" t="n">
        <v>6</v>
      </c>
      <c r="AK190" t="n">
        <v>8</v>
      </c>
      <c r="AL190" t="n">
        <v>2</v>
      </c>
      <c r="AM190" t="n">
        <v>2</v>
      </c>
      <c r="AN190" t="n">
        <v>0</v>
      </c>
      <c r="AO190" t="n">
        <v>0</v>
      </c>
      <c r="AP190" t="inlineStr">
        <is>
          <t>No</t>
        </is>
      </c>
      <c r="AQ190" t="inlineStr">
        <is>
          <t>No</t>
        </is>
      </c>
      <c r="AS190">
        <f>HYPERLINK("https://creighton-primo.hosted.exlibrisgroup.com/primo-explore/search?tab=default_tab&amp;search_scope=EVERYTHING&amp;vid=01CRU&amp;lang=en_US&amp;offset=0&amp;query=any,contains,991002574319702656","Catalog Record")</f>
        <v/>
      </c>
      <c r="AT190">
        <f>HYPERLINK("http://www.worldcat.org/oclc/33443585","WorldCat Record")</f>
        <v/>
      </c>
      <c r="AU190" t="inlineStr">
        <is>
          <t>799830307:eng</t>
        </is>
      </c>
      <c r="AV190" t="inlineStr">
        <is>
          <t>33443585</t>
        </is>
      </c>
      <c r="AW190" t="inlineStr">
        <is>
          <t>991002574319702656</t>
        </is>
      </c>
      <c r="AX190" t="inlineStr">
        <is>
          <t>991002574319702656</t>
        </is>
      </c>
      <c r="AY190" t="inlineStr">
        <is>
          <t>2268249940002656</t>
        </is>
      </c>
      <c r="AZ190" t="inlineStr">
        <is>
          <t>BOOK</t>
        </is>
      </c>
      <c r="BB190" t="inlineStr">
        <is>
          <t>9780847681372</t>
        </is>
      </c>
      <c r="BC190" t="inlineStr">
        <is>
          <t>32285002166964</t>
        </is>
      </c>
      <c r="BD190" t="inlineStr">
        <is>
          <t>893773767</t>
        </is>
      </c>
    </row>
    <row r="191">
      <c r="A191" t="inlineStr">
        <is>
          <t>No</t>
        </is>
      </c>
      <c r="B191" t="inlineStr">
        <is>
          <t>TX406 .T87 2004</t>
        </is>
      </c>
      <c r="C191" t="inlineStr">
        <is>
          <t>0                      TX 0406000T  87          2004</t>
        </is>
      </c>
      <c r="D191" t="inlineStr">
        <is>
          <t>Spice : the history of a temptation / Jack Turner.</t>
        </is>
      </c>
      <c r="F191" t="inlineStr">
        <is>
          <t>No</t>
        </is>
      </c>
      <c r="G191" t="inlineStr">
        <is>
          <t>1</t>
        </is>
      </c>
      <c r="H191" t="inlineStr">
        <is>
          <t>No</t>
        </is>
      </c>
      <c r="I191" t="inlineStr">
        <is>
          <t>No</t>
        </is>
      </c>
      <c r="J191" t="inlineStr">
        <is>
          <t>0</t>
        </is>
      </c>
      <c r="K191" t="inlineStr">
        <is>
          <t>Turner, Jack, 1968-</t>
        </is>
      </c>
      <c r="L191" t="inlineStr">
        <is>
          <t>New York : Knopf : Distributed by Random House, 2004.</t>
        </is>
      </c>
      <c r="M191" t="inlineStr">
        <is>
          <t>2004</t>
        </is>
      </c>
      <c r="N191" t="inlineStr">
        <is>
          <t>1st ed.</t>
        </is>
      </c>
      <c r="O191" t="inlineStr">
        <is>
          <t>eng</t>
        </is>
      </c>
      <c r="P191" t="inlineStr">
        <is>
          <t>nyu</t>
        </is>
      </c>
      <c r="R191" t="inlineStr">
        <is>
          <t xml:space="preserve">TX </t>
        </is>
      </c>
      <c r="S191" t="n">
        <v>4</v>
      </c>
      <c r="T191" t="n">
        <v>4</v>
      </c>
      <c r="U191" t="inlineStr">
        <is>
          <t>2005-10-14</t>
        </is>
      </c>
      <c r="V191" t="inlineStr">
        <is>
          <t>2005-10-14</t>
        </is>
      </c>
      <c r="W191" t="inlineStr">
        <is>
          <t>2004-08-26</t>
        </is>
      </c>
      <c r="X191" t="inlineStr">
        <is>
          <t>2004-08-26</t>
        </is>
      </c>
      <c r="Y191" t="n">
        <v>1092</v>
      </c>
      <c r="Z191" t="n">
        <v>1021</v>
      </c>
      <c r="AA191" t="n">
        <v>1213</v>
      </c>
      <c r="AB191" t="n">
        <v>4</v>
      </c>
      <c r="AC191" t="n">
        <v>6</v>
      </c>
      <c r="AD191" t="n">
        <v>21</v>
      </c>
      <c r="AE191" t="n">
        <v>25</v>
      </c>
      <c r="AF191" t="n">
        <v>7</v>
      </c>
      <c r="AG191" t="n">
        <v>7</v>
      </c>
      <c r="AH191" t="n">
        <v>6</v>
      </c>
      <c r="AI191" t="n">
        <v>6</v>
      </c>
      <c r="AJ191" t="n">
        <v>11</v>
      </c>
      <c r="AK191" t="n">
        <v>13</v>
      </c>
      <c r="AL191" t="n">
        <v>3</v>
      </c>
      <c r="AM191" t="n">
        <v>5</v>
      </c>
      <c r="AN191" t="n">
        <v>0</v>
      </c>
      <c r="AO191" t="n">
        <v>0</v>
      </c>
      <c r="AP191" t="inlineStr">
        <is>
          <t>No</t>
        </is>
      </c>
      <c r="AQ191" t="inlineStr">
        <is>
          <t>Yes</t>
        </is>
      </c>
      <c r="AR191">
        <f>HYPERLINK("http://catalog.hathitrust.org/Record/004733667","HathiTrust Record")</f>
        <v/>
      </c>
      <c r="AS191">
        <f>HYPERLINK("https://creighton-primo.hosted.exlibrisgroup.com/primo-explore/search?tab=default_tab&amp;search_scope=EVERYTHING&amp;vid=01CRU&amp;lang=en_US&amp;offset=0&amp;query=any,contains,991004319309702656","Catalog Record")</f>
        <v/>
      </c>
      <c r="AT191">
        <f>HYPERLINK("http://www.worldcat.org/oclc/53814621","WorldCat Record")</f>
        <v/>
      </c>
      <c r="AU191" t="inlineStr">
        <is>
          <t>1207529:eng</t>
        </is>
      </c>
      <c r="AV191" t="inlineStr">
        <is>
          <t>53814621</t>
        </is>
      </c>
      <c r="AW191" t="inlineStr">
        <is>
          <t>991004319309702656</t>
        </is>
      </c>
      <c r="AX191" t="inlineStr">
        <is>
          <t>991004319309702656</t>
        </is>
      </c>
      <c r="AY191" t="inlineStr">
        <is>
          <t>2271778010002656</t>
        </is>
      </c>
      <c r="AZ191" t="inlineStr">
        <is>
          <t>BOOK</t>
        </is>
      </c>
      <c r="BB191" t="inlineStr">
        <is>
          <t>9780375407215</t>
        </is>
      </c>
      <c r="BC191" t="inlineStr">
        <is>
          <t>32285004983374</t>
        </is>
      </c>
      <c r="BD191" t="inlineStr">
        <is>
          <t>893241271</t>
        </is>
      </c>
    </row>
    <row r="192">
      <c r="A192" t="inlineStr">
        <is>
          <t>No</t>
        </is>
      </c>
      <c r="B192" t="inlineStr">
        <is>
          <t>TX415 .U5 1935</t>
        </is>
      </c>
      <c r="C192" t="inlineStr">
        <is>
          <t>0                      TX 0415000U  5           1935</t>
        </is>
      </c>
      <c r="D192" t="inlineStr">
        <is>
          <t>All about coffee / by William H. Ukers, M.A.</t>
        </is>
      </c>
      <c r="F192" t="inlineStr">
        <is>
          <t>No</t>
        </is>
      </c>
      <c r="G192" t="inlineStr">
        <is>
          <t>1</t>
        </is>
      </c>
      <c r="H192" t="inlineStr">
        <is>
          <t>No</t>
        </is>
      </c>
      <c r="I192" t="inlineStr">
        <is>
          <t>No</t>
        </is>
      </c>
      <c r="J192" t="inlineStr">
        <is>
          <t>0</t>
        </is>
      </c>
      <c r="K192" t="inlineStr">
        <is>
          <t>Ukers, William H. (William Harrison), 1873-1945.</t>
        </is>
      </c>
      <c r="L192" t="inlineStr">
        <is>
          <t>New York : The Tea and Coffee Trade Journal Company, 1935.</t>
        </is>
      </c>
      <c r="M192" t="inlineStr">
        <is>
          <t>1935</t>
        </is>
      </c>
      <c r="N192" t="inlineStr">
        <is>
          <t>2d ed.</t>
        </is>
      </c>
      <c r="O192" t="inlineStr">
        <is>
          <t>eng</t>
        </is>
      </c>
      <c r="P192" t="inlineStr">
        <is>
          <t>nyu</t>
        </is>
      </c>
      <c r="R192" t="inlineStr">
        <is>
          <t xml:space="preserve">TX </t>
        </is>
      </c>
      <c r="S192" t="n">
        <v>10</v>
      </c>
      <c r="T192" t="n">
        <v>10</v>
      </c>
      <c r="U192" t="inlineStr">
        <is>
          <t>2005-09-16</t>
        </is>
      </c>
      <c r="V192" t="inlineStr">
        <is>
          <t>2005-09-16</t>
        </is>
      </c>
      <c r="W192" t="inlineStr">
        <is>
          <t>1992-05-05</t>
        </is>
      </c>
      <c r="X192" t="inlineStr">
        <is>
          <t>1992-05-05</t>
        </is>
      </c>
      <c r="Y192" t="n">
        <v>485</v>
      </c>
      <c r="Z192" t="n">
        <v>465</v>
      </c>
      <c r="AA192" t="n">
        <v>604</v>
      </c>
      <c r="AB192" t="n">
        <v>7</v>
      </c>
      <c r="AC192" t="n">
        <v>7</v>
      </c>
      <c r="AD192" t="n">
        <v>21</v>
      </c>
      <c r="AE192" t="n">
        <v>22</v>
      </c>
      <c r="AF192" t="n">
        <v>10</v>
      </c>
      <c r="AG192" t="n">
        <v>10</v>
      </c>
      <c r="AH192" t="n">
        <v>2</v>
      </c>
      <c r="AI192" t="n">
        <v>3</v>
      </c>
      <c r="AJ192" t="n">
        <v>7</v>
      </c>
      <c r="AK192" t="n">
        <v>7</v>
      </c>
      <c r="AL192" t="n">
        <v>6</v>
      </c>
      <c r="AM192" t="n">
        <v>6</v>
      </c>
      <c r="AN192" t="n">
        <v>0</v>
      </c>
      <c r="AO192" t="n">
        <v>0</v>
      </c>
      <c r="AP192" t="inlineStr">
        <is>
          <t>No</t>
        </is>
      </c>
      <c r="AQ192" t="inlineStr">
        <is>
          <t>Yes</t>
        </is>
      </c>
      <c r="AR192">
        <f>HYPERLINK("http://catalog.hathitrust.org/Record/001036574","HathiTrust Record")</f>
        <v/>
      </c>
      <c r="AS192">
        <f>HYPERLINK("https://creighton-primo.hosted.exlibrisgroup.com/primo-explore/search?tab=default_tab&amp;search_scope=EVERYTHING&amp;vid=01CRU&amp;lang=en_US&amp;offset=0&amp;query=any,contains,991003621539702656","Catalog Record")</f>
        <v/>
      </c>
      <c r="AT192">
        <f>HYPERLINK("http://www.worldcat.org/oclc/1208973","WorldCat Record")</f>
        <v/>
      </c>
      <c r="AU192" t="inlineStr">
        <is>
          <t>2023638:eng</t>
        </is>
      </c>
      <c r="AV192" t="inlineStr">
        <is>
          <t>1208973</t>
        </is>
      </c>
      <c r="AW192" t="inlineStr">
        <is>
          <t>991003621539702656</t>
        </is>
      </c>
      <c r="AX192" t="inlineStr">
        <is>
          <t>991003621539702656</t>
        </is>
      </c>
      <c r="AY192" t="inlineStr">
        <is>
          <t>2269054860002656</t>
        </is>
      </c>
      <c r="AZ192" t="inlineStr">
        <is>
          <t>BOOK</t>
        </is>
      </c>
      <c r="BC192" t="inlineStr">
        <is>
          <t>32285001092716</t>
        </is>
      </c>
      <c r="BD192" t="inlineStr">
        <is>
          <t>893598774</t>
        </is>
      </c>
    </row>
    <row r="193">
      <c r="A193" t="inlineStr">
        <is>
          <t>No</t>
        </is>
      </c>
      <c r="B193" t="inlineStr">
        <is>
          <t>TX541 .A76 1984</t>
        </is>
      </c>
      <c r="C193" t="inlineStr">
        <is>
          <t>0                      TX 0541000A  76          1984</t>
        </is>
      </c>
      <c r="D193" t="inlineStr">
        <is>
          <t>Analysis of foods and beverages : modern techniques / edited by George Charalambous.</t>
        </is>
      </c>
      <c r="F193" t="inlineStr">
        <is>
          <t>No</t>
        </is>
      </c>
      <c r="G193" t="inlineStr">
        <is>
          <t>1</t>
        </is>
      </c>
      <c r="H193" t="inlineStr">
        <is>
          <t>No</t>
        </is>
      </c>
      <c r="I193" t="inlineStr">
        <is>
          <t>No</t>
        </is>
      </c>
      <c r="J193" t="inlineStr">
        <is>
          <t>0</t>
        </is>
      </c>
      <c r="L193" t="inlineStr">
        <is>
          <t>Orlando : Academic Press, 1984.</t>
        </is>
      </c>
      <c r="M193" t="inlineStr">
        <is>
          <t>1984</t>
        </is>
      </c>
      <c r="O193" t="inlineStr">
        <is>
          <t>eng</t>
        </is>
      </c>
      <c r="P193" t="inlineStr">
        <is>
          <t>nyu</t>
        </is>
      </c>
      <c r="Q193" t="inlineStr">
        <is>
          <t>Food science and technology</t>
        </is>
      </c>
      <c r="R193" t="inlineStr">
        <is>
          <t xml:space="preserve">TX </t>
        </is>
      </c>
      <c r="S193" t="n">
        <v>2</v>
      </c>
      <c r="T193" t="n">
        <v>2</v>
      </c>
      <c r="U193" t="inlineStr">
        <is>
          <t>1994-04-17</t>
        </is>
      </c>
      <c r="V193" t="inlineStr">
        <is>
          <t>1994-04-17</t>
        </is>
      </c>
      <c r="W193" t="inlineStr">
        <is>
          <t>1993-08-03</t>
        </is>
      </c>
      <c r="X193" t="inlineStr">
        <is>
          <t>1993-08-03</t>
        </is>
      </c>
      <c r="Y193" t="n">
        <v>280</v>
      </c>
      <c r="Z193" t="n">
        <v>199</v>
      </c>
      <c r="AA193" t="n">
        <v>231</v>
      </c>
      <c r="AB193" t="n">
        <v>2</v>
      </c>
      <c r="AC193" t="n">
        <v>2</v>
      </c>
      <c r="AD193" t="n">
        <v>3</v>
      </c>
      <c r="AE193" t="n">
        <v>5</v>
      </c>
      <c r="AF193" t="n">
        <v>2</v>
      </c>
      <c r="AG193" t="n">
        <v>3</v>
      </c>
      <c r="AH193" t="n">
        <v>0</v>
      </c>
      <c r="AI193" t="n">
        <v>1</v>
      </c>
      <c r="AJ193" t="n">
        <v>1</v>
      </c>
      <c r="AK193" t="n">
        <v>1</v>
      </c>
      <c r="AL193" t="n">
        <v>1</v>
      </c>
      <c r="AM193" t="n">
        <v>1</v>
      </c>
      <c r="AN193" t="n">
        <v>0</v>
      </c>
      <c r="AO193" t="n">
        <v>0</v>
      </c>
      <c r="AP193" t="inlineStr">
        <is>
          <t>No</t>
        </is>
      </c>
      <c r="AQ193" t="inlineStr">
        <is>
          <t>No</t>
        </is>
      </c>
      <c r="AS193">
        <f>HYPERLINK("https://creighton-primo.hosted.exlibrisgroup.com/primo-explore/search?tab=default_tab&amp;search_scope=EVERYTHING&amp;vid=01CRU&amp;lang=en_US&amp;offset=0&amp;query=any,contains,991000239769702656","Catalog Record")</f>
        <v/>
      </c>
      <c r="AT193">
        <f>HYPERLINK("http://www.worldcat.org/oclc/9682930","WorldCat Record")</f>
        <v/>
      </c>
      <c r="AU193" t="inlineStr">
        <is>
          <t>4929784938:eng</t>
        </is>
      </c>
      <c r="AV193" t="inlineStr">
        <is>
          <t>9682930</t>
        </is>
      </c>
      <c r="AW193" t="inlineStr">
        <is>
          <t>991000239769702656</t>
        </is>
      </c>
      <c r="AX193" t="inlineStr">
        <is>
          <t>991000239769702656</t>
        </is>
      </c>
      <c r="AY193" t="inlineStr">
        <is>
          <t>2264005540002656</t>
        </is>
      </c>
      <c r="AZ193" t="inlineStr">
        <is>
          <t>BOOK</t>
        </is>
      </c>
      <c r="BB193" t="inlineStr">
        <is>
          <t>9780121691608</t>
        </is>
      </c>
      <c r="BC193" t="inlineStr">
        <is>
          <t>32285001749224</t>
        </is>
      </c>
      <c r="BD193" t="inlineStr">
        <is>
          <t>893771498</t>
        </is>
      </c>
    </row>
    <row r="194">
      <c r="A194" t="inlineStr">
        <is>
          <t>No</t>
        </is>
      </c>
      <c r="B194" t="inlineStr">
        <is>
          <t>TX545 .C44 1997</t>
        </is>
      </c>
      <c r="C194" t="inlineStr">
        <is>
          <t>0                      TX 0545000C  44          1997</t>
        </is>
      </c>
      <c r="D194" t="inlineStr">
        <is>
          <t>Chemical and functional properties of food components / edited by Zdzislaw E. Sikorski.</t>
        </is>
      </c>
      <c r="F194" t="inlineStr">
        <is>
          <t>No</t>
        </is>
      </c>
      <c r="G194" t="inlineStr">
        <is>
          <t>1</t>
        </is>
      </c>
      <c r="H194" t="inlineStr">
        <is>
          <t>No</t>
        </is>
      </c>
      <c r="I194" t="inlineStr">
        <is>
          <t>No</t>
        </is>
      </c>
      <c r="J194" t="inlineStr">
        <is>
          <t>0</t>
        </is>
      </c>
      <c r="L194" t="inlineStr">
        <is>
          <t>Lancaster, Pa. : Technomic Pub. Co., c1997.</t>
        </is>
      </c>
      <c r="M194" t="inlineStr">
        <is>
          <t>1996</t>
        </is>
      </c>
      <c r="O194" t="inlineStr">
        <is>
          <t>eng</t>
        </is>
      </c>
      <c r="P194" t="inlineStr">
        <is>
          <t>pau</t>
        </is>
      </c>
      <c r="R194" t="inlineStr">
        <is>
          <t xml:space="preserve">TX </t>
        </is>
      </c>
      <c r="S194" t="n">
        <v>2</v>
      </c>
      <c r="T194" t="n">
        <v>2</v>
      </c>
      <c r="U194" t="inlineStr">
        <is>
          <t>2001-05-16</t>
        </is>
      </c>
      <c r="V194" t="inlineStr">
        <is>
          <t>2001-05-16</t>
        </is>
      </c>
      <c r="W194" t="inlineStr">
        <is>
          <t>2001-04-16</t>
        </is>
      </c>
      <c r="X194" t="inlineStr">
        <is>
          <t>2001-04-16</t>
        </is>
      </c>
      <c r="Y194" t="n">
        <v>168</v>
      </c>
      <c r="Z194" t="n">
        <v>111</v>
      </c>
      <c r="AA194" t="n">
        <v>168</v>
      </c>
      <c r="AB194" t="n">
        <v>2</v>
      </c>
      <c r="AC194" t="n">
        <v>3</v>
      </c>
      <c r="AD194" t="n">
        <v>3</v>
      </c>
      <c r="AE194" t="n">
        <v>8</v>
      </c>
      <c r="AF194" t="n">
        <v>1</v>
      </c>
      <c r="AG194" t="n">
        <v>4</v>
      </c>
      <c r="AH194" t="n">
        <v>0</v>
      </c>
      <c r="AI194" t="n">
        <v>1</v>
      </c>
      <c r="AJ194" t="n">
        <v>1</v>
      </c>
      <c r="AK194" t="n">
        <v>3</v>
      </c>
      <c r="AL194" t="n">
        <v>1</v>
      </c>
      <c r="AM194" t="n">
        <v>2</v>
      </c>
      <c r="AN194" t="n">
        <v>0</v>
      </c>
      <c r="AO194" t="n">
        <v>0</v>
      </c>
      <c r="AP194" t="inlineStr">
        <is>
          <t>No</t>
        </is>
      </c>
      <c r="AQ194" t="inlineStr">
        <is>
          <t>No</t>
        </is>
      </c>
      <c r="AS194">
        <f>HYPERLINK("https://creighton-primo.hosted.exlibrisgroup.com/primo-explore/search?tab=default_tab&amp;search_scope=EVERYTHING&amp;vid=01CRU&amp;lang=en_US&amp;offset=0&amp;query=any,contains,991003492299702656","Catalog Record")</f>
        <v/>
      </c>
      <c r="AT194">
        <f>HYPERLINK("http://www.worldcat.org/oclc/36296272","WorldCat Record")</f>
        <v/>
      </c>
      <c r="AU194" t="inlineStr">
        <is>
          <t>865019934:eng</t>
        </is>
      </c>
      <c r="AV194" t="inlineStr">
        <is>
          <t>36296272</t>
        </is>
      </c>
      <c r="AW194" t="inlineStr">
        <is>
          <t>991003492299702656</t>
        </is>
      </c>
      <c r="AX194" t="inlineStr">
        <is>
          <t>991003492299702656</t>
        </is>
      </c>
      <c r="AY194" t="inlineStr">
        <is>
          <t>2258139090002656</t>
        </is>
      </c>
      <c r="AZ194" t="inlineStr">
        <is>
          <t>BOOK</t>
        </is>
      </c>
      <c r="BB194" t="inlineStr">
        <is>
          <t>9781566764643</t>
        </is>
      </c>
      <c r="BC194" t="inlineStr">
        <is>
          <t>32285004312483</t>
        </is>
      </c>
      <c r="BD194" t="inlineStr">
        <is>
          <t>893324120</t>
        </is>
      </c>
    </row>
    <row r="195">
      <c r="A195" t="inlineStr">
        <is>
          <t>No</t>
        </is>
      </c>
      <c r="B195" t="inlineStr">
        <is>
          <t>TX545 .C6 1976</t>
        </is>
      </c>
      <c r="C195" t="inlineStr">
        <is>
          <t>0                      TX 0545000C  6           1976</t>
        </is>
      </c>
      <c r="D195" t="inlineStr">
        <is>
          <t>The chemical analysis of foods / by David Pearson.</t>
        </is>
      </c>
      <c r="F195" t="inlineStr">
        <is>
          <t>No</t>
        </is>
      </c>
      <c r="G195" t="inlineStr">
        <is>
          <t>1</t>
        </is>
      </c>
      <c r="H195" t="inlineStr">
        <is>
          <t>No</t>
        </is>
      </c>
      <c r="I195" t="inlineStr">
        <is>
          <t>No</t>
        </is>
      </c>
      <c r="J195" t="inlineStr">
        <is>
          <t>0</t>
        </is>
      </c>
      <c r="K195" t="inlineStr">
        <is>
          <t>Pearson, David.</t>
        </is>
      </c>
      <c r="L195" t="inlineStr">
        <is>
          <t>Edinburgh ; New York : Churchill Livingstone, 1976.</t>
        </is>
      </c>
      <c r="M195" t="inlineStr">
        <is>
          <t>1976</t>
        </is>
      </c>
      <c r="N195" t="inlineStr">
        <is>
          <t>7th ed.</t>
        </is>
      </c>
      <c r="O195" t="inlineStr">
        <is>
          <t>eng</t>
        </is>
      </c>
      <c r="P195" t="inlineStr">
        <is>
          <t>stk</t>
        </is>
      </c>
      <c r="R195" t="inlineStr">
        <is>
          <t xml:space="preserve">TX </t>
        </is>
      </c>
      <c r="S195" t="n">
        <v>3</v>
      </c>
      <c r="T195" t="n">
        <v>3</v>
      </c>
      <c r="U195" t="inlineStr">
        <is>
          <t>1995-03-14</t>
        </is>
      </c>
      <c r="V195" t="inlineStr">
        <is>
          <t>1995-03-14</t>
        </is>
      </c>
      <c r="W195" t="inlineStr">
        <is>
          <t>1993-08-03</t>
        </is>
      </c>
      <c r="X195" t="inlineStr">
        <is>
          <t>1993-08-03</t>
        </is>
      </c>
      <c r="Y195" t="n">
        <v>160</v>
      </c>
      <c r="Z195" t="n">
        <v>66</v>
      </c>
      <c r="AA195" t="n">
        <v>431</v>
      </c>
      <c r="AB195" t="n">
        <v>2</v>
      </c>
      <c r="AC195" t="n">
        <v>4</v>
      </c>
      <c r="AD195" t="n">
        <v>1</v>
      </c>
      <c r="AE195" t="n">
        <v>7</v>
      </c>
      <c r="AF195" t="n">
        <v>0</v>
      </c>
      <c r="AG195" t="n">
        <v>2</v>
      </c>
      <c r="AH195" t="n">
        <v>0</v>
      </c>
      <c r="AI195" t="n">
        <v>1</v>
      </c>
      <c r="AJ195" t="n">
        <v>0</v>
      </c>
      <c r="AK195" t="n">
        <v>2</v>
      </c>
      <c r="AL195" t="n">
        <v>1</v>
      </c>
      <c r="AM195" t="n">
        <v>2</v>
      </c>
      <c r="AN195" t="n">
        <v>0</v>
      </c>
      <c r="AO195" t="n">
        <v>0</v>
      </c>
      <c r="AP195" t="inlineStr">
        <is>
          <t>No</t>
        </is>
      </c>
      <c r="AQ195" t="inlineStr">
        <is>
          <t>Yes</t>
        </is>
      </c>
      <c r="AR195">
        <f>HYPERLINK("http://catalog.hathitrust.org/Record/009056055","HathiTrust Record")</f>
        <v/>
      </c>
      <c r="AS195">
        <f>HYPERLINK("https://creighton-primo.hosted.exlibrisgroup.com/primo-explore/search?tab=default_tab&amp;search_scope=EVERYTHING&amp;vid=01CRU&amp;lang=en_US&amp;offset=0&amp;query=any,contains,991004243019702656","Catalog Record")</f>
        <v/>
      </c>
      <c r="AT195">
        <f>HYPERLINK("http://www.worldcat.org/oclc/2793796","WorldCat Record")</f>
        <v/>
      </c>
      <c r="AU195" t="inlineStr">
        <is>
          <t>2487729926:eng</t>
        </is>
      </c>
      <c r="AV195" t="inlineStr">
        <is>
          <t>2793796</t>
        </is>
      </c>
      <c r="AW195" t="inlineStr">
        <is>
          <t>991004243019702656</t>
        </is>
      </c>
      <c r="AX195" t="inlineStr">
        <is>
          <t>991004243019702656</t>
        </is>
      </c>
      <c r="AY195" t="inlineStr">
        <is>
          <t>2268286750002656</t>
        </is>
      </c>
      <c r="AZ195" t="inlineStr">
        <is>
          <t>BOOK</t>
        </is>
      </c>
      <c r="BB195" t="inlineStr">
        <is>
          <t>9780443014116</t>
        </is>
      </c>
      <c r="BC195" t="inlineStr">
        <is>
          <t>32285001749232</t>
        </is>
      </c>
      <c r="BD195" t="inlineStr">
        <is>
          <t>893782010</t>
        </is>
      </c>
    </row>
    <row r="196">
      <c r="A196" t="inlineStr">
        <is>
          <t>No</t>
        </is>
      </c>
      <c r="B196" t="inlineStr">
        <is>
          <t>TX551 .M377 1991</t>
        </is>
      </c>
      <c r="C196" t="inlineStr">
        <is>
          <t>0                      TX 0551000M  377         1991</t>
        </is>
      </c>
      <c r="D196" t="inlineStr">
        <is>
          <t>McCance and Widdowson's the composition of foods.</t>
        </is>
      </c>
      <c r="F196" t="inlineStr">
        <is>
          <t>No</t>
        </is>
      </c>
      <c r="G196" t="inlineStr">
        <is>
          <t>1</t>
        </is>
      </c>
      <c r="H196" t="inlineStr">
        <is>
          <t>No</t>
        </is>
      </c>
      <c r="I196" t="inlineStr">
        <is>
          <t>No</t>
        </is>
      </c>
      <c r="J196" t="inlineStr">
        <is>
          <t>0</t>
        </is>
      </c>
      <c r="K196" t="inlineStr">
        <is>
          <t>McCance, R. A. (Robert Alexander), 1898-1993.</t>
        </is>
      </c>
      <c r="L196" t="inlineStr">
        <is>
          <t>Cambridge, UK : Royal Society of Chemistry : Ministry of Agriculture, Fisheries and Food, c1991.</t>
        </is>
      </c>
      <c r="M196" t="inlineStr">
        <is>
          <t>1991</t>
        </is>
      </c>
      <c r="N196" t="inlineStr">
        <is>
          <t>5th rev. and extended ed. / B. Holland ... [et al.].</t>
        </is>
      </c>
      <c r="O196" t="inlineStr">
        <is>
          <t>eng</t>
        </is>
      </c>
      <c r="P196" t="inlineStr">
        <is>
          <t>enk</t>
        </is>
      </c>
      <c r="R196" t="inlineStr">
        <is>
          <t xml:space="preserve">TX </t>
        </is>
      </c>
      <c r="S196" t="n">
        <v>9</v>
      </c>
      <c r="T196" t="n">
        <v>9</v>
      </c>
      <c r="U196" t="inlineStr">
        <is>
          <t>2004-10-04</t>
        </is>
      </c>
      <c r="V196" t="inlineStr">
        <is>
          <t>2004-10-04</t>
        </is>
      </c>
      <c r="W196" t="inlineStr">
        <is>
          <t>1997-05-22</t>
        </is>
      </c>
      <c r="X196" t="inlineStr">
        <is>
          <t>1997-05-22</t>
        </is>
      </c>
      <c r="Y196" t="n">
        <v>147</v>
      </c>
      <c r="Z196" t="n">
        <v>101</v>
      </c>
      <c r="AA196" t="n">
        <v>255</v>
      </c>
      <c r="AB196" t="n">
        <v>2</v>
      </c>
      <c r="AC196" t="n">
        <v>2</v>
      </c>
      <c r="AD196" t="n">
        <v>2</v>
      </c>
      <c r="AE196" t="n">
        <v>4</v>
      </c>
      <c r="AF196" t="n">
        <v>0</v>
      </c>
      <c r="AG196" t="n">
        <v>2</v>
      </c>
      <c r="AH196" t="n">
        <v>0</v>
      </c>
      <c r="AI196" t="n">
        <v>0</v>
      </c>
      <c r="AJ196" t="n">
        <v>1</v>
      </c>
      <c r="AK196" t="n">
        <v>2</v>
      </c>
      <c r="AL196" t="n">
        <v>1</v>
      </c>
      <c r="AM196" t="n">
        <v>1</v>
      </c>
      <c r="AN196" t="n">
        <v>0</v>
      </c>
      <c r="AO196" t="n">
        <v>0</v>
      </c>
      <c r="AP196" t="inlineStr">
        <is>
          <t>No</t>
        </is>
      </c>
      <c r="AQ196" t="inlineStr">
        <is>
          <t>No</t>
        </is>
      </c>
      <c r="AS196">
        <f>HYPERLINK("https://creighton-primo.hosted.exlibrisgroup.com/primo-explore/search?tab=default_tab&amp;search_scope=EVERYTHING&amp;vid=01CRU&amp;lang=en_US&amp;offset=0&amp;query=any,contains,991001959109702656","Catalog Record")</f>
        <v/>
      </c>
      <c r="AT196">
        <f>HYPERLINK("http://www.worldcat.org/oclc/24801302","WorldCat Record")</f>
        <v/>
      </c>
      <c r="AU196" t="inlineStr">
        <is>
          <t>4917075348:eng</t>
        </is>
      </c>
      <c r="AV196" t="inlineStr">
        <is>
          <t>24801302</t>
        </is>
      </c>
      <c r="AW196" t="inlineStr">
        <is>
          <t>991001959109702656</t>
        </is>
      </c>
      <c r="AX196" t="inlineStr">
        <is>
          <t>991001959109702656</t>
        </is>
      </c>
      <c r="AY196" t="inlineStr">
        <is>
          <t>2267131500002656</t>
        </is>
      </c>
      <c r="AZ196" t="inlineStr">
        <is>
          <t>BOOK</t>
        </is>
      </c>
      <c r="BB196" t="inlineStr">
        <is>
          <t>9780851863917</t>
        </is>
      </c>
      <c r="BC196" t="inlineStr">
        <is>
          <t>32285002610938</t>
        </is>
      </c>
      <c r="BD196" t="inlineStr">
        <is>
          <t>893603035</t>
        </is>
      </c>
    </row>
    <row r="197">
      <c r="A197" t="inlineStr">
        <is>
          <t>No</t>
        </is>
      </c>
      <c r="B197" t="inlineStr">
        <is>
          <t>TX551 .R6 1999</t>
        </is>
      </c>
      <c r="C197" t="inlineStr">
        <is>
          <t>0                      TX 0551000R  6           1999</t>
        </is>
      </c>
      <c r="D197" t="inlineStr">
        <is>
          <t>Harriet Roth's fat counter / by Harriet Roth.</t>
        </is>
      </c>
      <c r="F197" t="inlineStr">
        <is>
          <t>No</t>
        </is>
      </c>
      <c r="G197" t="inlineStr">
        <is>
          <t>1</t>
        </is>
      </c>
      <c r="H197" t="inlineStr">
        <is>
          <t>No</t>
        </is>
      </c>
      <c r="I197" t="inlineStr">
        <is>
          <t>No</t>
        </is>
      </c>
      <c r="J197" t="inlineStr">
        <is>
          <t>0</t>
        </is>
      </c>
      <c r="K197" t="inlineStr">
        <is>
          <t>Roth, Harriet.</t>
        </is>
      </c>
      <c r="L197" t="inlineStr">
        <is>
          <t>New York : Signet, c1999.</t>
        </is>
      </c>
      <c r="M197" t="inlineStr">
        <is>
          <t>1999</t>
        </is>
      </c>
      <c r="N197" t="inlineStr">
        <is>
          <t>2nd rev. ed.</t>
        </is>
      </c>
      <c r="O197" t="inlineStr">
        <is>
          <t>eng</t>
        </is>
      </c>
      <c r="P197" t="inlineStr">
        <is>
          <t>nyu</t>
        </is>
      </c>
      <c r="R197" t="inlineStr">
        <is>
          <t xml:space="preserve">TX </t>
        </is>
      </c>
      <c r="S197" t="n">
        <v>1</v>
      </c>
      <c r="T197" t="n">
        <v>1</v>
      </c>
      <c r="U197" t="inlineStr">
        <is>
          <t>2003-04-30</t>
        </is>
      </c>
      <c r="V197" t="inlineStr">
        <is>
          <t>2003-04-30</t>
        </is>
      </c>
      <c r="W197" t="inlineStr">
        <is>
          <t>2003-04-30</t>
        </is>
      </c>
      <c r="X197" t="inlineStr">
        <is>
          <t>2003-04-30</t>
        </is>
      </c>
      <c r="Y197" t="n">
        <v>11</v>
      </c>
      <c r="Z197" t="n">
        <v>11</v>
      </c>
      <c r="AA197" t="n">
        <v>70</v>
      </c>
      <c r="AB197" t="n">
        <v>1</v>
      </c>
      <c r="AC197" t="n">
        <v>1</v>
      </c>
      <c r="AD197" t="n">
        <v>0</v>
      </c>
      <c r="AE197" t="n">
        <v>0</v>
      </c>
      <c r="AF197" t="n">
        <v>0</v>
      </c>
      <c r="AG197" t="n">
        <v>0</v>
      </c>
      <c r="AH197" t="n">
        <v>0</v>
      </c>
      <c r="AI197" t="n">
        <v>0</v>
      </c>
      <c r="AJ197" t="n">
        <v>0</v>
      </c>
      <c r="AK197" t="n">
        <v>0</v>
      </c>
      <c r="AL197" t="n">
        <v>0</v>
      </c>
      <c r="AM197" t="n">
        <v>0</v>
      </c>
      <c r="AN197" t="n">
        <v>0</v>
      </c>
      <c r="AO197" t="n">
        <v>0</v>
      </c>
      <c r="AP197" t="inlineStr">
        <is>
          <t>No</t>
        </is>
      </c>
      <c r="AQ197" t="inlineStr">
        <is>
          <t>No</t>
        </is>
      </c>
      <c r="AS197">
        <f>HYPERLINK("https://creighton-primo.hosted.exlibrisgroup.com/primo-explore/search?tab=default_tab&amp;search_scope=EVERYTHING&amp;vid=01CRU&amp;lang=en_US&amp;offset=0&amp;query=any,contains,991004043239702656","Catalog Record")</f>
        <v/>
      </c>
      <c r="AT197">
        <f>HYPERLINK("http://www.worldcat.org/oclc/40502831","WorldCat Record")</f>
        <v/>
      </c>
      <c r="AU197" t="inlineStr">
        <is>
          <t>23449083:eng</t>
        </is>
      </c>
      <c r="AV197" t="inlineStr">
        <is>
          <t>40502831</t>
        </is>
      </c>
      <c r="AW197" t="inlineStr">
        <is>
          <t>991004043239702656</t>
        </is>
      </c>
      <c r="AX197" t="inlineStr">
        <is>
          <t>991004043239702656</t>
        </is>
      </c>
      <c r="AY197" t="inlineStr">
        <is>
          <t>2256426520002656</t>
        </is>
      </c>
      <c r="AZ197" t="inlineStr">
        <is>
          <t>BOOK</t>
        </is>
      </c>
      <c r="BB197" t="inlineStr">
        <is>
          <t>9780451197450</t>
        </is>
      </c>
      <c r="BC197" t="inlineStr">
        <is>
          <t>32285004744412</t>
        </is>
      </c>
      <c r="BD197" t="inlineStr">
        <is>
          <t>893318732</t>
        </is>
      </c>
    </row>
    <row r="198">
      <c r="A198" t="inlineStr">
        <is>
          <t>No</t>
        </is>
      </c>
      <c r="B198" t="inlineStr">
        <is>
          <t>TX553.A3 B4 1971</t>
        </is>
      </c>
      <c r="C198" t="inlineStr">
        <is>
          <t>0                      TX 0553000A  3                  B  4           1971</t>
        </is>
      </c>
      <c r="D198" t="inlineStr">
        <is>
          <t>The chemicals we eat, by Melvin A. Benarde.</t>
        </is>
      </c>
      <c r="F198" t="inlineStr">
        <is>
          <t>No</t>
        </is>
      </c>
      <c r="G198" t="inlineStr">
        <is>
          <t>1</t>
        </is>
      </c>
      <c r="H198" t="inlineStr">
        <is>
          <t>No</t>
        </is>
      </c>
      <c r="I198" t="inlineStr">
        <is>
          <t>No</t>
        </is>
      </c>
      <c r="J198" t="inlineStr">
        <is>
          <t>0</t>
        </is>
      </c>
      <c r="K198" t="inlineStr">
        <is>
          <t>Benarde, Melvin A.</t>
        </is>
      </c>
      <c r="L198" t="inlineStr">
        <is>
          <t>New York, American Heritage Press [1971]</t>
        </is>
      </c>
      <c r="M198" t="inlineStr">
        <is>
          <t>1971</t>
        </is>
      </c>
      <c r="O198" t="inlineStr">
        <is>
          <t>eng</t>
        </is>
      </c>
      <c r="P198" t="inlineStr">
        <is>
          <t>nyu</t>
        </is>
      </c>
      <c r="R198" t="inlineStr">
        <is>
          <t xml:space="preserve">TX </t>
        </is>
      </c>
      <c r="S198" t="n">
        <v>1</v>
      </c>
      <c r="T198" t="n">
        <v>1</v>
      </c>
      <c r="U198" t="inlineStr">
        <is>
          <t>2004-10-04</t>
        </is>
      </c>
      <c r="V198" t="inlineStr">
        <is>
          <t>2004-10-04</t>
        </is>
      </c>
      <c r="W198" t="inlineStr">
        <is>
          <t>1997-08-29</t>
        </is>
      </c>
      <c r="X198" t="inlineStr">
        <is>
          <t>1997-08-29</t>
        </is>
      </c>
      <c r="Y198" t="n">
        <v>763</v>
      </c>
      <c r="Z198" t="n">
        <v>693</v>
      </c>
      <c r="AA198" t="n">
        <v>793</v>
      </c>
      <c r="AB198" t="n">
        <v>8</v>
      </c>
      <c r="AC198" t="n">
        <v>8</v>
      </c>
      <c r="AD198" t="n">
        <v>14</v>
      </c>
      <c r="AE198" t="n">
        <v>16</v>
      </c>
      <c r="AF198" t="n">
        <v>3</v>
      </c>
      <c r="AG198" t="n">
        <v>5</v>
      </c>
      <c r="AH198" t="n">
        <v>2</v>
      </c>
      <c r="AI198" t="n">
        <v>2</v>
      </c>
      <c r="AJ198" t="n">
        <v>5</v>
      </c>
      <c r="AK198" t="n">
        <v>5</v>
      </c>
      <c r="AL198" t="n">
        <v>6</v>
      </c>
      <c r="AM198" t="n">
        <v>6</v>
      </c>
      <c r="AN198" t="n">
        <v>0</v>
      </c>
      <c r="AO198" t="n">
        <v>0</v>
      </c>
      <c r="AP198" t="inlineStr">
        <is>
          <t>No</t>
        </is>
      </c>
      <c r="AQ198" t="inlineStr">
        <is>
          <t>Yes</t>
        </is>
      </c>
      <c r="AR198">
        <f>HYPERLINK("http://catalog.hathitrust.org/Record/001522217","HathiTrust Record")</f>
        <v/>
      </c>
      <c r="AS198">
        <f>HYPERLINK("https://creighton-primo.hosted.exlibrisgroup.com/primo-explore/search?tab=default_tab&amp;search_scope=EVERYTHING&amp;vid=01CRU&amp;lang=en_US&amp;offset=0&amp;query=any,contains,991000817839702656","Catalog Record")</f>
        <v/>
      </c>
      <c r="AT198">
        <f>HYPERLINK("http://www.worldcat.org/oclc/143421","WorldCat Record")</f>
        <v/>
      </c>
      <c r="AU198" t="inlineStr">
        <is>
          <t>1314622:eng</t>
        </is>
      </c>
      <c r="AV198" t="inlineStr">
        <is>
          <t>143421</t>
        </is>
      </c>
      <c r="AW198" t="inlineStr">
        <is>
          <t>991000817839702656</t>
        </is>
      </c>
      <c r="AX198" t="inlineStr">
        <is>
          <t>991000817839702656</t>
        </is>
      </c>
      <c r="AY198" t="inlineStr">
        <is>
          <t>2256675140002656</t>
        </is>
      </c>
      <c r="AZ198" t="inlineStr">
        <is>
          <t>BOOK</t>
        </is>
      </c>
      <c r="BB198" t="inlineStr">
        <is>
          <t>9780070044227</t>
        </is>
      </c>
      <c r="BC198" t="inlineStr">
        <is>
          <t>32285003120721</t>
        </is>
      </c>
      <c r="BD198" t="inlineStr">
        <is>
          <t>893771994</t>
        </is>
      </c>
    </row>
    <row r="199">
      <c r="A199" t="inlineStr">
        <is>
          <t>No</t>
        </is>
      </c>
      <c r="B199" t="inlineStr">
        <is>
          <t>TX553.C28 R64 1998</t>
        </is>
      </c>
      <c r="C199" t="inlineStr">
        <is>
          <t>0                      TX 0553000C  28                 R  64          1998</t>
        </is>
      </c>
      <c r="D199" t="inlineStr">
        <is>
          <t>Carbohydrates and weight management / Barbara J. Rolls, James O. Hill.</t>
        </is>
      </c>
      <c r="F199" t="inlineStr">
        <is>
          <t>No</t>
        </is>
      </c>
      <c r="G199" t="inlineStr">
        <is>
          <t>1</t>
        </is>
      </c>
      <c r="H199" t="inlineStr">
        <is>
          <t>No</t>
        </is>
      </c>
      <c r="I199" t="inlineStr">
        <is>
          <t>No</t>
        </is>
      </c>
      <c r="J199" t="inlineStr">
        <is>
          <t>0</t>
        </is>
      </c>
      <c r="K199" t="inlineStr">
        <is>
          <t>Rolls, Barbara J.</t>
        </is>
      </c>
      <c r="L199" t="inlineStr">
        <is>
          <t>Washington, D.C. : ILSI Press, c1998.</t>
        </is>
      </c>
      <c r="M199" t="inlineStr">
        <is>
          <t>1998</t>
        </is>
      </c>
      <c r="O199" t="inlineStr">
        <is>
          <t>eng</t>
        </is>
      </c>
      <c r="P199" t="inlineStr">
        <is>
          <t>dcu</t>
        </is>
      </c>
      <c r="Q199" t="inlineStr">
        <is>
          <t>ILSI North America monograph</t>
        </is>
      </c>
      <c r="R199" t="inlineStr">
        <is>
          <t xml:space="preserve">TX </t>
        </is>
      </c>
      <c r="S199" t="n">
        <v>6</v>
      </c>
      <c r="T199" t="n">
        <v>6</v>
      </c>
      <c r="U199" t="inlineStr">
        <is>
          <t>2005-04-09</t>
        </is>
      </c>
      <c r="V199" t="inlineStr">
        <is>
          <t>2005-04-09</t>
        </is>
      </c>
      <c r="W199" t="inlineStr">
        <is>
          <t>1999-03-31</t>
        </is>
      </c>
      <c r="X199" t="inlineStr">
        <is>
          <t>1999-03-31</t>
        </is>
      </c>
      <c r="Y199" t="n">
        <v>70</v>
      </c>
      <c r="Z199" t="n">
        <v>57</v>
      </c>
      <c r="AA199" t="n">
        <v>57</v>
      </c>
      <c r="AB199" t="n">
        <v>1</v>
      </c>
      <c r="AC199" t="n">
        <v>1</v>
      </c>
      <c r="AD199" t="n">
        <v>1</v>
      </c>
      <c r="AE199" t="n">
        <v>1</v>
      </c>
      <c r="AF199" t="n">
        <v>0</v>
      </c>
      <c r="AG199" t="n">
        <v>0</v>
      </c>
      <c r="AH199" t="n">
        <v>0</v>
      </c>
      <c r="AI199" t="n">
        <v>0</v>
      </c>
      <c r="AJ199" t="n">
        <v>1</v>
      </c>
      <c r="AK199" t="n">
        <v>1</v>
      </c>
      <c r="AL199" t="n">
        <v>0</v>
      </c>
      <c r="AM199" t="n">
        <v>0</v>
      </c>
      <c r="AN199" t="n">
        <v>0</v>
      </c>
      <c r="AO199" t="n">
        <v>0</v>
      </c>
      <c r="AP199" t="inlineStr">
        <is>
          <t>No</t>
        </is>
      </c>
      <c r="AQ199" t="inlineStr">
        <is>
          <t>No</t>
        </is>
      </c>
      <c r="AS199">
        <f>HYPERLINK("https://creighton-primo.hosted.exlibrisgroup.com/primo-explore/search?tab=default_tab&amp;search_scope=EVERYTHING&amp;vid=01CRU&amp;lang=en_US&amp;offset=0&amp;query=any,contains,991003015049702656","Catalog Record")</f>
        <v/>
      </c>
      <c r="AT199">
        <f>HYPERLINK("http://www.worldcat.org/oclc/40990416","WorldCat Record")</f>
        <v/>
      </c>
      <c r="AU199" t="inlineStr">
        <is>
          <t>25993284:eng</t>
        </is>
      </c>
      <c r="AV199" t="inlineStr">
        <is>
          <t>40990416</t>
        </is>
      </c>
      <c r="AW199" t="inlineStr">
        <is>
          <t>991003015049702656</t>
        </is>
      </c>
      <c r="AX199" t="inlineStr">
        <is>
          <t>991003015049702656</t>
        </is>
      </c>
      <c r="AY199" t="inlineStr">
        <is>
          <t>2272290660002656</t>
        </is>
      </c>
      <c r="AZ199" t="inlineStr">
        <is>
          <t>BOOK</t>
        </is>
      </c>
      <c r="BB199" t="inlineStr">
        <is>
          <t>9781578810130</t>
        </is>
      </c>
      <c r="BC199" t="inlineStr">
        <is>
          <t>32285003547881</t>
        </is>
      </c>
      <c r="BD199" t="inlineStr">
        <is>
          <t>893415935</t>
        </is>
      </c>
    </row>
    <row r="200">
      <c r="A200" t="inlineStr">
        <is>
          <t>No</t>
        </is>
      </c>
      <c r="B200" t="inlineStr">
        <is>
          <t>TX571.P4 M67 1987</t>
        </is>
      </c>
      <c r="C200" t="inlineStr">
        <is>
          <t>0                      TX 0571000P  4                  M  67          1987</t>
        </is>
      </c>
      <c r="D200" t="inlineStr">
        <is>
          <t>Pesticide alert : a guide to pesticides in fruits and vegetables / Lawrie Mott and Karen Snyder.</t>
        </is>
      </c>
      <c r="F200" t="inlineStr">
        <is>
          <t>No</t>
        </is>
      </c>
      <c r="G200" t="inlineStr">
        <is>
          <t>1</t>
        </is>
      </c>
      <c r="H200" t="inlineStr">
        <is>
          <t>No</t>
        </is>
      </c>
      <c r="I200" t="inlineStr">
        <is>
          <t>No</t>
        </is>
      </c>
      <c r="J200" t="inlineStr">
        <is>
          <t>0</t>
        </is>
      </c>
      <c r="K200" t="inlineStr">
        <is>
          <t>Mott, Lawrie.</t>
        </is>
      </c>
      <c r="L200" t="inlineStr">
        <is>
          <t>San Francisco : Sierra Club Books, 1987.</t>
        </is>
      </c>
      <c r="M200" t="inlineStr">
        <is>
          <t>1988</t>
        </is>
      </c>
      <c r="O200" t="inlineStr">
        <is>
          <t>eng</t>
        </is>
      </c>
      <c r="P200" t="inlineStr">
        <is>
          <t>cau</t>
        </is>
      </c>
      <c r="R200" t="inlineStr">
        <is>
          <t xml:space="preserve">TX </t>
        </is>
      </c>
      <c r="S200" t="n">
        <v>12</v>
      </c>
      <c r="T200" t="n">
        <v>12</v>
      </c>
      <c r="U200" t="inlineStr">
        <is>
          <t>2008-11-22</t>
        </is>
      </c>
      <c r="V200" t="inlineStr">
        <is>
          <t>2008-11-22</t>
        </is>
      </c>
      <c r="W200" t="inlineStr">
        <is>
          <t>1990-06-07</t>
        </is>
      </c>
      <c r="X200" t="inlineStr">
        <is>
          <t>1990-06-07</t>
        </is>
      </c>
      <c r="Y200" t="n">
        <v>705</v>
      </c>
      <c r="Z200" t="n">
        <v>652</v>
      </c>
      <c r="AA200" t="n">
        <v>678</v>
      </c>
      <c r="AB200" t="n">
        <v>4</v>
      </c>
      <c r="AC200" t="n">
        <v>4</v>
      </c>
      <c r="AD200" t="n">
        <v>7</v>
      </c>
      <c r="AE200" t="n">
        <v>7</v>
      </c>
      <c r="AF200" t="n">
        <v>1</v>
      </c>
      <c r="AG200" t="n">
        <v>1</v>
      </c>
      <c r="AH200" t="n">
        <v>1</v>
      </c>
      <c r="AI200" t="n">
        <v>1</v>
      </c>
      <c r="AJ200" t="n">
        <v>2</v>
      </c>
      <c r="AK200" t="n">
        <v>2</v>
      </c>
      <c r="AL200" t="n">
        <v>2</v>
      </c>
      <c r="AM200" t="n">
        <v>2</v>
      </c>
      <c r="AN200" t="n">
        <v>2</v>
      </c>
      <c r="AO200" t="n">
        <v>2</v>
      </c>
      <c r="AP200" t="inlineStr">
        <is>
          <t>No</t>
        </is>
      </c>
      <c r="AQ200" t="inlineStr">
        <is>
          <t>Yes</t>
        </is>
      </c>
      <c r="AR200">
        <f>HYPERLINK("http://catalog.hathitrust.org/Record/004410483","HathiTrust Record")</f>
        <v/>
      </c>
      <c r="AS200">
        <f>HYPERLINK("https://creighton-primo.hosted.exlibrisgroup.com/primo-explore/search?tab=default_tab&amp;search_scope=EVERYTHING&amp;vid=01CRU&amp;lang=en_US&amp;offset=0&amp;query=any,contains,991001179579702656","Catalog Record")</f>
        <v/>
      </c>
      <c r="AT200">
        <f>HYPERLINK("http://www.worldcat.org/oclc/17106638","WorldCat Record")</f>
        <v/>
      </c>
      <c r="AU200" t="inlineStr">
        <is>
          <t>13200691:eng</t>
        </is>
      </c>
      <c r="AV200" t="inlineStr">
        <is>
          <t>17106638</t>
        </is>
      </c>
      <c r="AW200" t="inlineStr">
        <is>
          <t>991001179579702656</t>
        </is>
      </c>
      <c r="AX200" t="inlineStr">
        <is>
          <t>991001179579702656</t>
        </is>
      </c>
      <c r="AY200" t="inlineStr">
        <is>
          <t>2270336110002656</t>
        </is>
      </c>
      <c r="AZ200" t="inlineStr">
        <is>
          <t>BOOK</t>
        </is>
      </c>
      <c r="BB200" t="inlineStr">
        <is>
          <t>9780871567260</t>
        </is>
      </c>
      <c r="BC200" t="inlineStr">
        <is>
          <t>32285000184290</t>
        </is>
      </c>
      <c r="BD200" t="inlineStr">
        <is>
          <t>893778618</t>
        </is>
      </c>
    </row>
    <row r="201">
      <c r="A201" t="inlineStr">
        <is>
          <t>No</t>
        </is>
      </c>
      <c r="B201" t="inlineStr">
        <is>
          <t>TX631 .J3 1975</t>
        </is>
      </c>
      <c r="C201" t="inlineStr">
        <is>
          <t>0                      TX 0631000J  3           1975</t>
        </is>
      </c>
      <c r="D201" t="inlineStr">
        <is>
          <t>Gastronomy / by Jay Jacobs.</t>
        </is>
      </c>
      <c r="F201" t="inlineStr">
        <is>
          <t>No</t>
        </is>
      </c>
      <c r="G201" t="inlineStr">
        <is>
          <t>1</t>
        </is>
      </c>
      <c r="H201" t="inlineStr">
        <is>
          <t>No</t>
        </is>
      </c>
      <c r="I201" t="inlineStr">
        <is>
          <t>No</t>
        </is>
      </c>
      <c r="J201" t="inlineStr">
        <is>
          <t>0</t>
        </is>
      </c>
      <c r="K201" t="inlineStr">
        <is>
          <t>Jacobs, Jay.</t>
        </is>
      </c>
      <c r="L201" t="inlineStr">
        <is>
          <t>New York : Newsweek Books, c1975.</t>
        </is>
      </c>
      <c r="M201" t="inlineStr">
        <is>
          <t>1975</t>
        </is>
      </c>
      <c r="O201" t="inlineStr">
        <is>
          <t>eng</t>
        </is>
      </c>
      <c r="P201" t="inlineStr">
        <is>
          <t>nyu</t>
        </is>
      </c>
      <c r="Q201" t="inlineStr">
        <is>
          <t>World of culture</t>
        </is>
      </c>
      <c r="R201" t="inlineStr">
        <is>
          <t xml:space="preserve">TX </t>
        </is>
      </c>
      <c r="S201" t="n">
        <v>9</v>
      </c>
      <c r="T201" t="n">
        <v>9</v>
      </c>
      <c r="U201" t="inlineStr">
        <is>
          <t>2010-08-24</t>
        </is>
      </c>
      <c r="V201" t="inlineStr">
        <is>
          <t>2010-08-24</t>
        </is>
      </c>
      <c r="W201" t="inlineStr">
        <is>
          <t>1994-06-06</t>
        </is>
      </c>
      <c r="X201" t="inlineStr">
        <is>
          <t>1994-06-06</t>
        </is>
      </c>
      <c r="Y201" t="n">
        <v>367</v>
      </c>
      <c r="Z201" t="n">
        <v>345</v>
      </c>
      <c r="AA201" t="n">
        <v>345</v>
      </c>
      <c r="AB201" t="n">
        <v>5</v>
      </c>
      <c r="AC201" t="n">
        <v>5</v>
      </c>
      <c r="AD201" t="n">
        <v>7</v>
      </c>
      <c r="AE201" t="n">
        <v>7</v>
      </c>
      <c r="AF201" t="n">
        <v>2</v>
      </c>
      <c r="AG201" t="n">
        <v>2</v>
      </c>
      <c r="AH201" t="n">
        <v>1</v>
      </c>
      <c r="AI201" t="n">
        <v>1</v>
      </c>
      <c r="AJ201" t="n">
        <v>2</v>
      </c>
      <c r="AK201" t="n">
        <v>2</v>
      </c>
      <c r="AL201" t="n">
        <v>3</v>
      </c>
      <c r="AM201" t="n">
        <v>3</v>
      </c>
      <c r="AN201" t="n">
        <v>0</v>
      </c>
      <c r="AO201" t="n">
        <v>0</v>
      </c>
      <c r="AP201" t="inlineStr">
        <is>
          <t>No</t>
        </is>
      </c>
      <c r="AQ201" t="inlineStr">
        <is>
          <t>No</t>
        </is>
      </c>
      <c r="AS201">
        <f>HYPERLINK("https://creighton-primo.hosted.exlibrisgroup.com/primo-explore/search?tab=default_tab&amp;search_scope=EVERYTHING&amp;vid=01CRU&amp;lang=en_US&amp;offset=0&amp;query=any,contains,991003933099702656","Catalog Record")</f>
        <v/>
      </c>
      <c r="AT201">
        <f>HYPERLINK("http://www.worldcat.org/oclc/1904913","WorldCat Record")</f>
        <v/>
      </c>
      <c r="AU201" t="inlineStr">
        <is>
          <t>2598550:eng</t>
        </is>
      </c>
      <c r="AV201" t="inlineStr">
        <is>
          <t>1904913</t>
        </is>
      </c>
      <c r="AW201" t="inlineStr">
        <is>
          <t>991003933099702656</t>
        </is>
      </c>
      <c r="AX201" t="inlineStr">
        <is>
          <t>991003933099702656</t>
        </is>
      </c>
      <c r="AY201" t="inlineStr">
        <is>
          <t>2257788850002656</t>
        </is>
      </c>
      <c r="AZ201" t="inlineStr">
        <is>
          <t>BOOK</t>
        </is>
      </c>
      <c r="BB201" t="inlineStr">
        <is>
          <t>9780882251233</t>
        </is>
      </c>
      <c r="BC201" t="inlineStr">
        <is>
          <t>32285001915882</t>
        </is>
      </c>
      <c r="BD201" t="inlineStr">
        <is>
          <t>893263020</t>
        </is>
      </c>
    </row>
    <row r="202">
      <c r="A202" t="inlineStr">
        <is>
          <t>No</t>
        </is>
      </c>
      <c r="B202" t="inlineStr">
        <is>
          <t>TX631 .S65 1991</t>
        </is>
      </c>
      <c r="C202" t="inlineStr">
        <is>
          <t>0                      TX 0631000S  65          1991</t>
        </is>
      </c>
      <c r="D202" t="inlineStr">
        <is>
          <t>Why we eat what we eat : how the encounter between the New World and the Old changed the way everyone on the planet eats / Raymond Sokolov.</t>
        </is>
      </c>
      <c r="F202" t="inlineStr">
        <is>
          <t>No</t>
        </is>
      </c>
      <c r="G202" t="inlineStr">
        <is>
          <t>1</t>
        </is>
      </c>
      <c r="H202" t="inlineStr">
        <is>
          <t>No</t>
        </is>
      </c>
      <c r="I202" t="inlineStr">
        <is>
          <t>No</t>
        </is>
      </c>
      <c r="J202" t="inlineStr">
        <is>
          <t>0</t>
        </is>
      </c>
      <c r="K202" t="inlineStr">
        <is>
          <t>Sokolov, Raymond A.</t>
        </is>
      </c>
      <c r="L202" t="inlineStr">
        <is>
          <t>New York, N.Y. : Summit Books, c1991.</t>
        </is>
      </c>
      <c r="M202" t="inlineStr">
        <is>
          <t>1991</t>
        </is>
      </c>
      <c r="O202" t="inlineStr">
        <is>
          <t>eng</t>
        </is>
      </c>
      <c r="P202" t="inlineStr">
        <is>
          <t>nyu</t>
        </is>
      </c>
      <c r="R202" t="inlineStr">
        <is>
          <t xml:space="preserve">TX </t>
        </is>
      </c>
      <c r="S202" t="n">
        <v>15</v>
      </c>
      <c r="T202" t="n">
        <v>15</v>
      </c>
      <c r="U202" t="inlineStr">
        <is>
          <t>2008-11-22</t>
        </is>
      </c>
      <c r="V202" t="inlineStr">
        <is>
          <t>2008-11-22</t>
        </is>
      </c>
      <c r="W202" t="inlineStr">
        <is>
          <t>1992-02-14</t>
        </is>
      </c>
      <c r="X202" t="inlineStr">
        <is>
          <t>1992-02-14</t>
        </is>
      </c>
      <c r="Y202" t="n">
        <v>769</v>
      </c>
      <c r="Z202" t="n">
        <v>717</v>
      </c>
      <c r="AA202" t="n">
        <v>803</v>
      </c>
      <c r="AB202" t="n">
        <v>6</v>
      </c>
      <c r="AC202" t="n">
        <v>6</v>
      </c>
      <c r="AD202" t="n">
        <v>13</v>
      </c>
      <c r="AE202" t="n">
        <v>15</v>
      </c>
      <c r="AF202" t="n">
        <v>4</v>
      </c>
      <c r="AG202" t="n">
        <v>4</v>
      </c>
      <c r="AH202" t="n">
        <v>3</v>
      </c>
      <c r="AI202" t="n">
        <v>3</v>
      </c>
      <c r="AJ202" t="n">
        <v>4</v>
      </c>
      <c r="AK202" t="n">
        <v>6</v>
      </c>
      <c r="AL202" t="n">
        <v>4</v>
      </c>
      <c r="AM202" t="n">
        <v>4</v>
      </c>
      <c r="AN202" t="n">
        <v>0</v>
      </c>
      <c r="AO202" t="n">
        <v>0</v>
      </c>
      <c r="AP202" t="inlineStr">
        <is>
          <t>No</t>
        </is>
      </c>
      <c r="AQ202" t="inlineStr">
        <is>
          <t>Yes</t>
        </is>
      </c>
      <c r="AR202">
        <f>HYPERLINK("http://catalog.hathitrust.org/Record/004183282","HathiTrust Record")</f>
        <v/>
      </c>
      <c r="AS202">
        <f>HYPERLINK("https://creighton-primo.hosted.exlibrisgroup.com/primo-explore/search?tab=default_tab&amp;search_scope=EVERYTHING&amp;vid=01CRU&amp;lang=en_US&amp;offset=0&amp;query=any,contains,991001884529702656","Catalog Record")</f>
        <v/>
      </c>
      <c r="AT202">
        <f>HYPERLINK("http://www.worldcat.org/oclc/23766340","WorldCat Record")</f>
        <v/>
      </c>
      <c r="AU202" t="inlineStr">
        <is>
          <t>25035456:eng</t>
        </is>
      </c>
      <c r="AV202" t="inlineStr">
        <is>
          <t>23766340</t>
        </is>
      </c>
      <c r="AW202" t="inlineStr">
        <is>
          <t>991001884529702656</t>
        </is>
      </c>
      <c r="AX202" t="inlineStr">
        <is>
          <t>991001884529702656</t>
        </is>
      </c>
      <c r="AY202" t="inlineStr">
        <is>
          <t>2269589220002656</t>
        </is>
      </c>
      <c r="AZ202" t="inlineStr">
        <is>
          <t>BOOK</t>
        </is>
      </c>
      <c r="BB202" t="inlineStr">
        <is>
          <t>9780671667962</t>
        </is>
      </c>
      <c r="BC202" t="inlineStr">
        <is>
          <t>32285000946763</t>
        </is>
      </c>
      <c r="BD202" t="inlineStr">
        <is>
          <t>893596804</t>
        </is>
      </c>
    </row>
    <row r="203">
      <c r="A203" t="inlineStr">
        <is>
          <t>No</t>
        </is>
      </c>
      <c r="B203" t="inlineStr">
        <is>
          <t>TX649.F87 F87 1999</t>
        </is>
      </c>
      <c r="C203" t="inlineStr">
        <is>
          <t>0                      TX 0649000F  87                 F  87          1999</t>
        </is>
      </c>
      <c r="D203" t="inlineStr">
        <is>
          <t>My kitchen wars / Betty Fussell.</t>
        </is>
      </c>
      <c r="F203" t="inlineStr">
        <is>
          <t>No</t>
        </is>
      </c>
      <c r="G203" t="inlineStr">
        <is>
          <t>1</t>
        </is>
      </c>
      <c r="H203" t="inlineStr">
        <is>
          <t>No</t>
        </is>
      </c>
      <c r="I203" t="inlineStr">
        <is>
          <t>No</t>
        </is>
      </c>
      <c r="J203" t="inlineStr">
        <is>
          <t>0</t>
        </is>
      </c>
      <c r="K203" t="inlineStr">
        <is>
          <t>Fussell, Betty Harper.</t>
        </is>
      </c>
      <c r="L203" t="inlineStr">
        <is>
          <t>New York : North Point Press, 1999.</t>
        </is>
      </c>
      <c r="M203" t="inlineStr">
        <is>
          <t>1999</t>
        </is>
      </c>
      <c r="N203" t="inlineStr">
        <is>
          <t>1st ed.</t>
        </is>
      </c>
      <c r="O203" t="inlineStr">
        <is>
          <t>eng</t>
        </is>
      </c>
      <c r="P203" t="inlineStr">
        <is>
          <t>nyu</t>
        </is>
      </c>
      <c r="R203" t="inlineStr">
        <is>
          <t xml:space="preserve">TX </t>
        </is>
      </c>
      <c r="S203" t="n">
        <v>8</v>
      </c>
      <c r="T203" t="n">
        <v>8</v>
      </c>
      <c r="U203" t="inlineStr">
        <is>
          <t>2008-06-11</t>
        </is>
      </c>
      <c r="V203" t="inlineStr">
        <is>
          <t>2008-06-11</t>
        </is>
      </c>
      <c r="W203" t="inlineStr">
        <is>
          <t>2000-07-24</t>
        </is>
      </c>
      <c r="X203" t="inlineStr">
        <is>
          <t>2000-07-24</t>
        </is>
      </c>
      <c r="Y203" t="n">
        <v>467</v>
      </c>
      <c r="Z203" t="n">
        <v>450</v>
      </c>
      <c r="AA203" t="n">
        <v>674</v>
      </c>
      <c r="AB203" t="n">
        <v>4</v>
      </c>
      <c r="AC203" t="n">
        <v>6</v>
      </c>
      <c r="AD203" t="n">
        <v>6</v>
      </c>
      <c r="AE203" t="n">
        <v>10</v>
      </c>
      <c r="AF203" t="n">
        <v>2</v>
      </c>
      <c r="AG203" t="n">
        <v>4</v>
      </c>
      <c r="AH203" t="n">
        <v>1</v>
      </c>
      <c r="AI203" t="n">
        <v>2</v>
      </c>
      <c r="AJ203" t="n">
        <v>2</v>
      </c>
      <c r="AK203" t="n">
        <v>2</v>
      </c>
      <c r="AL203" t="n">
        <v>2</v>
      </c>
      <c r="AM203" t="n">
        <v>3</v>
      </c>
      <c r="AN203" t="n">
        <v>0</v>
      </c>
      <c r="AO203" t="n">
        <v>0</v>
      </c>
      <c r="AP203" t="inlineStr">
        <is>
          <t>No</t>
        </is>
      </c>
      <c r="AQ203" t="inlineStr">
        <is>
          <t>No</t>
        </is>
      </c>
      <c r="AS203">
        <f>HYPERLINK("https://creighton-primo.hosted.exlibrisgroup.com/primo-explore/search?tab=default_tab&amp;search_scope=EVERYTHING&amp;vid=01CRU&amp;lang=en_US&amp;offset=0&amp;query=any,contains,991003213379702656","Catalog Record")</f>
        <v/>
      </c>
      <c r="AT203">
        <f>HYPERLINK("http://www.worldcat.org/oclc/41086719","WorldCat Record")</f>
        <v/>
      </c>
      <c r="AU203" t="inlineStr">
        <is>
          <t>49926:eng</t>
        </is>
      </c>
      <c r="AV203" t="inlineStr">
        <is>
          <t>41086719</t>
        </is>
      </c>
      <c r="AW203" t="inlineStr">
        <is>
          <t>991003213379702656</t>
        </is>
      </c>
      <c r="AX203" t="inlineStr">
        <is>
          <t>991003213379702656</t>
        </is>
      </c>
      <c r="AY203" t="inlineStr">
        <is>
          <t>2261614830002656</t>
        </is>
      </c>
      <c r="AZ203" t="inlineStr">
        <is>
          <t>BOOK</t>
        </is>
      </c>
      <c r="BB203" t="inlineStr">
        <is>
          <t>9780865475779</t>
        </is>
      </c>
      <c r="BC203" t="inlineStr">
        <is>
          <t>32285003711453</t>
        </is>
      </c>
      <c r="BD203" t="inlineStr">
        <is>
          <t>893227799</t>
        </is>
      </c>
    </row>
    <row r="204">
      <c r="A204" t="inlineStr">
        <is>
          <t>No</t>
        </is>
      </c>
      <c r="B204" t="inlineStr">
        <is>
          <t>TX651 .S36 1999</t>
        </is>
      </c>
      <c r="C204" t="inlineStr">
        <is>
          <t>0                      TX 0651000S  36          1999</t>
        </is>
      </c>
      <c r="D204" t="inlineStr">
        <is>
          <t>Consejos múltiples de cocina y algo más-- / Elizabeth Sánchez Ysidora.</t>
        </is>
      </c>
      <c r="F204" t="inlineStr">
        <is>
          <t>No</t>
        </is>
      </c>
      <c r="G204" t="inlineStr">
        <is>
          <t>1</t>
        </is>
      </c>
      <c r="H204" t="inlineStr">
        <is>
          <t>No</t>
        </is>
      </c>
      <c r="I204" t="inlineStr">
        <is>
          <t>No</t>
        </is>
      </c>
      <c r="J204" t="inlineStr">
        <is>
          <t>0</t>
        </is>
      </c>
      <c r="K204" t="inlineStr">
        <is>
          <t>Sánchez Ysidora, Elizabeth.</t>
        </is>
      </c>
      <c r="L204" t="inlineStr">
        <is>
          <t>[S.l. : s.n.], 1999</t>
        </is>
      </c>
      <c r="M204" t="inlineStr">
        <is>
          <t>1999</t>
        </is>
      </c>
      <c r="N204" t="inlineStr">
        <is>
          <t>1ra. ed.</t>
        </is>
      </c>
      <c r="O204" t="inlineStr">
        <is>
          <t>spa</t>
        </is>
      </c>
      <c r="P204" t="inlineStr">
        <is>
          <t xml:space="preserve">dr </t>
        </is>
      </c>
      <c r="R204" t="inlineStr">
        <is>
          <t xml:space="preserve">TX </t>
        </is>
      </c>
      <c r="S204" t="n">
        <v>1</v>
      </c>
      <c r="T204" t="n">
        <v>1</v>
      </c>
      <c r="U204" t="inlineStr">
        <is>
          <t>2000-11-06</t>
        </is>
      </c>
      <c r="V204" t="inlineStr">
        <is>
          <t>2000-11-06</t>
        </is>
      </c>
      <c r="W204" t="inlineStr">
        <is>
          <t>2000-10-31</t>
        </is>
      </c>
      <c r="X204" t="inlineStr">
        <is>
          <t>2000-10-31</t>
        </is>
      </c>
      <c r="Y204" t="n">
        <v>1</v>
      </c>
      <c r="Z204" t="n">
        <v>1</v>
      </c>
      <c r="AA204" t="n">
        <v>1</v>
      </c>
      <c r="AB204" t="n">
        <v>1</v>
      </c>
      <c r="AC204" t="n">
        <v>1</v>
      </c>
      <c r="AD204" t="n">
        <v>0</v>
      </c>
      <c r="AE204" t="n">
        <v>0</v>
      </c>
      <c r="AF204" t="n">
        <v>0</v>
      </c>
      <c r="AG204" t="n">
        <v>0</v>
      </c>
      <c r="AH204" t="n">
        <v>0</v>
      </c>
      <c r="AI204" t="n">
        <v>0</v>
      </c>
      <c r="AJ204" t="n">
        <v>0</v>
      </c>
      <c r="AK204" t="n">
        <v>0</v>
      </c>
      <c r="AL204" t="n">
        <v>0</v>
      </c>
      <c r="AM204" t="n">
        <v>0</v>
      </c>
      <c r="AN204" t="n">
        <v>0</v>
      </c>
      <c r="AO204" t="n">
        <v>0</v>
      </c>
      <c r="AP204" t="inlineStr">
        <is>
          <t>No</t>
        </is>
      </c>
      <c r="AQ204" t="inlineStr">
        <is>
          <t>No</t>
        </is>
      </c>
      <c r="AS204">
        <f>HYPERLINK("https://creighton-primo.hosted.exlibrisgroup.com/primo-explore/search?tab=default_tab&amp;search_scope=EVERYTHING&amp;vid=01CRU&amp;lang=en_US&amp;offset=0&amp;query=any,contains,991003336409702656","Catalog Record")</f>
        <v/>
      </c>
      <c r="AT204">
        <f>HYPERLINK("http://www.worldcat.org/oclc/45003826","WorldCat Record")</f>
        <v/>
      </c>
      <c r="AU204" t="inlineStr">
        <is>
          <t>34557573:spa</t>
        </is>
      </c>
      <c r="AV204" t="inlineStr">
        <is>
          <t>45003826</t>
        </is>
      </c>
      <c r="AW204" t="inlineStr">
        <is>
          <t>991003336409702656</t>
        </is>
      </c>
      <c r="AX204" t="inlineStr">
        <is>
          <t>991003336409702656</t>
        </is>
      </c>
      <c r="AY204" t="inlineStr">
        <is>
          <t>2271760830002656</t>
        </is>
      </c>
      <c r="AZ204" t="inlineStr">
        <is>
          <t>BOOK</t>
        </is>
      </c>
      <c r="BC204" t="inlineStr">
        <is>
          <t>32285004270517</t>
        </is>
      </c>
      <c r="BD204" t="inlineStr">
        <is>
          <t>893881066</t>
        </is>
      </c>
    </row>
    <row r="205">
      <c r="A205" t="inlineStr">
        <is>
          <t>No</t>
        </is>
      </c>
      <c r="B205" t="inlineStr">
        <is>
          <t>TX652 .P35</t>
        </is>
      </c>
      <c r="C205" t="inlineStr">
        <is>
          <t>0                      TX 0652000P  35</t>
        </is>
      </c>
      <c r="D205" t="inlineStr">
        <is>
          <t>Classical cooking the modern way / by Eugen Pauli ; edited by Marjorie S. Arkwright ; [English translation by Peter C. March and Monroe S. Levine].</t>
        </is>
      </c>
      <c r="F205" t="inlineStr">
        <is>
          <t>No</t>
        </is>
      </c>
      <c r="G205" t="inlineStr">
        <is>
          <t>1</t>
        </is>
      </c>
      <c r="H205" t="inlineStr">
        <is>
          <t>No</t>
        </is>
      </c>
      <c r="I205" t="inlineStr">
        <is>
          <t>No</t>
        </is>
      </c>
      <c r="J205" t="inlineStr">
        <is>
          <t>0</t>
        </is>
      </c>
      <c r="K205" t="inlineStr">
        <is>
          <t>Pauli, Eugen.</t>
        </is>
      </c>
      <c r="L205" t="inlineStr">
        <is>
          <t>Boston : CBI Pub. Co., c1979.</t>
        </is>
      </c>
      <c r="M205" t="inlineStr">
        <is>
          <t>1979</t>
        </is>
      </c>
      <c r="O205" t="inlineStr">
        <is>
          <t>eng</t>
        </is>
      </c>
      <c r="P205" t="inlineStr">
        <is>
          <t>mau</t>
        </is>
      </c>
      <c r="R205" t="inlineStr">
        <is>
          <t xml:space="preserve">TX </t>
        </is>
      </c>
      <c r="S205" t="n">
        <v>23</v>
      </c>
      <c r="T205" t="n">
        <v>23</v>
      </c>
      <c r="U205" t="inlineStr">
        <is>
          <t>2009-03-16</t>
        </is>
      </c>
      <c r="V205" t="inlineStr">
        <is>
          <t>2009-03-16</t>
        </is>
      </c>
      <c r="W205" t="inlineStr">
        <is>
          <t>1992-03-30</t>
        </is>
      </c>
      <c r="X205" t="inlineStr">
        <is>
          <t>1992-03-30</t>
        </is>
      </c>
      <c r="Y205" t="n">
        <v>173</v>
      </c>
      <c r="Z205" t="n">
        <v>128</v>
      </c>
      <c r="AA205" t="n">
        <v>228</v>
      </c>
      <c r="AB205" t="n">
        <v>2</v>
      </c>
      <c r="AC205" t="n">
        <v>3</v>
      </c>
      <c r="AD205" t="n">
        <v>2</v>
      </c>
      <c r="AE205" t="n">
        <v>3</v>
      </c>
      <c r="AF205" t="n">
        <v>0</v>
      </c>
      <c r="AG205" t="n">
        <v>0</v>
      </c>
      <c r="AH205" t="n">
        <v>0</v>
      </c>
      <c r="AI205" t="n">
        <v>0</v>
      </c>
      <c r="AJ205" t="n">
        <v>1</v>
      </c>
      <c r="AK205" t="n">
        <v>1</v>
      </c>
      <c r="AL205" t="n">
        <v>1</v>
      </c>
      <c r="AM205" t="n">
        <v>2</v>
      </c>
      <c r="AN205" t="n">
        <v>0</v>
      </c>
      <c r="AO205" t="n">
        <v>0</v>
      </c>
      <c r="AP205" t="inlineStr">
        <is>
          <t>No</t>
        </is>
      </c>
      <c r="AQ205" t="inlineStr">
        <is>
          <t>Yes</t>
        </is>
      </c>
      <c r="AR205">
        <f>HYPERLINK("http://catalog.hathitrust.org/Record/009057039","HathiTrust Record")</f>
        <v/>
      </c>
      <c r="AS205">
        <f>HYPERLINK("https://creighton-primo.hosted.exlibrisgroup.com/primo-explore/search?tab=default_tab&amp;search_scope=EVERYTHING&amp;vid=01CRU&amp;lang=en_US&amp;offset=0&amp;query=any,contains,991004665939702656","Catalog Record")</f>
        <v/>
      </c>
      <c r="AT205">
        <f>HYPERLINK("http://www.worldcat.org/oclc/4503930","WorldCat Record")</f>
        <v/>
      </c>
      <c r="AU205" t="inlineStr">
        <is>
          <t>891869449:eng</t>
        </is>
      </c>
      <c r="AV205" t="inlineStr">
        <is>
          <t>4503930</t>
        </is>
      </c>
      <c r="AW205" t="inlineStr">
        <is>
          <t>991004665939702656</t>
        </is>
      </c>
      <c r="AX205" t="inlineStr">
        <is>
          <t>991004665939702656</t>
        </is>
      </c>
      <c r="AY205" t="inlineStr">
        <is>
          <t>2265315670002656</t>
        </is>
      </c>
      <c r="AZ205" t="inlineStr">
        <is>
          <t>BOOK</t>
        </is>
      </c>
      <c r="BB205" t="inlineStr">
        <is>
          <t>9780843620740</t>
        </is>
      </c>
      <c r="BC205" t="inlineStr">
        <is>
          <t>32285001041697</t>
        </is>
      </c>
      <c r="BD205" t="inlineStr">
        <is>
          <t>893895269</t>
        </is>
      </c>
    </row>
    <row r="206">
      <c r="A206" t="inlineStr">
        <is>
          <t>No</t>
        </is>
      </c>
      <c r="B206" t="inlineStr">
        <is>
          <t>TX705 .M368</t>
        </is>
      </c>
      <c r="C206" t="inlineStr">
        <is>
          <t>0                      TX 0705000M  368</t>
        </is>
      </c>
      <c r="D206" t="inlineStr">
        <is>
          <t>Martha Washington's Booke of cookery / transcribed by Karen Hess with historical notes and copious annotations.</t>
        </is>
      </c>
      <c r="F206" t="inlineStr">
        <is>
          <t>No</t>
        </is>
      </c>
      <c r="G206" t="inlineStr">
        <is>
          <t>1</t>
        </is>
      </c>
      <c r="H206" t="inlineStr">
        <is>
          <t>No</t>
        </is>
      </c>
      <c r="I206" t="inlineStr">
        <is>
          <t>No</t>
        </is>
      </c>
      <c r="J206" t="inlineStr">
        <is>
          <t>0</t>
        </is>
      </c>
      <c r="L206" t="inlineStr">
        <is>
          <t>New York : Columbia University Press, 1981.</t>
        </is>
      </c>
      <c r="M206" t="inlineStr">
        <is>
          <t>1981</t>
        </is>
      </c>
      <c r="O206" t="inlineStr">
        <is>
          <t>eng</t>
        </is>
      </c>
      <c r="P206" t="inlineStr">
        <is>
          <t>nyu</t>
        </is>
      </c>
      <c r="R206" t="inlineStr">
        <is>
          <t xml:space="preserve">TX </t>
        </is>
      </c>
      <c r="S206" t="n">
        <v>2</v>
      </c>
      <c r="T206" t="n">
        <v>2</v>
      </c>
      <c r="U206" t="inlineStr">
        <is>
          <t>1994-05-23</t>
        </is>
      </c>
      <c r="V206" t="inlineStr">
        <is>
          <t>1994-05-23</t>
        </is>
      </c>
      <c r="W206" t="inlineStr">
        <is>
          <t>1993-08-03</t>
        </is>
      </c>
      <c r="X206" t="inlineStr">
        <is>
          <t>1993-08-03</t>
        </is>
      </c>
      <c r="Y206" t="n">
        <v>347</v>
      </c>
      <c r="Z206" t="n">
        <v>338</v>
      </c>
      <c r="AA206" t="n">
        <v>398</v>
      </c>
      <c r="AB206" t="n">
        <v>4</v>
      </c>
      <c r="AC206" t="n">
        <v>4</v>
      </c>
      <c r="AD206" t="n">
        <v>7</v>
      </c>
      <c r="AE206" t="n">
        <v>7</v>
      </c>
      <c r="AF206" t="n">
        <v>2</v>
      </c>
      <c r="AG206" t="n">
        <v>2</v>
      </c>
      <c r="AH206" t="n">
        <v>1</v>
      </c>
      <c r="AI206" t="n">
        <v>1</v>
      </c>
      <c r="AJ206" t="n">
        <v>3</v>
      </c>
      <c r="AK206" t="n">
        <v>3</v>
      </c>
      <c r="AL206" t="n">
        <v>2</v>
      </c>
      <c r="AM206" t="n">
        <v>2</v>
      </c>
      <c r="AN206" t="n">
        <v>0</v>
      </c>
      <c r="AO206" t="n">
        <v>0</v>
      </c>
      <c r="AP206" t="inlineStr">
        <is>
          <t>No</t>
        </is>
      </c>
      <c r="AQ206" t="inlineStr">
        <is>
          <t>No</t>
        </is>
      </c>
      <c r="AS206">
        <f>HYPERLINK("https://creighton-primo.hosted.exlibrisgroup.com/primo-explore/search?tab=default_tab&amp;search_scope=EVERYTHING&amp;vid=01CRU&amp;lang=en_US&amp;offset=0&amp;query=any,contains,991004997889702656","Catalog Record")</f>
        <v/>
      </c>
      <c r="AT206">
        <f>HYPERLINK("http://www.worldcat.org/oclc/6532164","WorldCat Record")</f>
        <v/>
      </c>
      <c r="AU206" t="inlineStr">
        <is>
          <t>356778261:eng</t>
        </is>
      </c>
      <c r="AV206" t="inlineStr">
        <is>
          <t>6532164</t>
        </is>
      </c>
      <c r="AW206" t="inlineStr">
        <is>
          <t>991004997889702656</t>
        </is>
      </c>
      <c r="AX206" t="inlineStr">
        <is>
          <t>991004997889702656</t>
        </is>
      </c>
      <c r="AY206" t="inlineStr">
        <is>
          <t>2261966410002656</t>
        </is>
      </c>
      <c r="AZ206" t="inlineStr">
        <is>
          <t>BOOK</t>
        </is>
      </c>
      <c r="BB206" t="inlineStr">
        <is>
          <t>9780231049306</t>
        </is>
      </c>
      <c r="BC206" t="inlineStr">
        <is>
          <t>32285001749273</t>
        </is>
      </c>
      <c r="BD206" t="inlineStr">
        <is>
          <t>893430693</t>
        </is>
      </c>
    </row>
    <row r="207">
      <c r="A207" t="inlineStr">
        <is>
          <t>No</t>
        </is>
      </c>
      <c r="B207" t="inlineStr">
        <is>
          <t>TX714 .B77 1989</t>
        </is>
      </c>
      <c r="C207" t="inlineStr">
        <is>
          <t>0                      TX 0714000B  77          1989</t>
        </is>
      </c>
      <c r="D207" t="inlineStr">
        <is>
          <t>Cooking with memories : recipes and recollections / Lora Brody.</t>
        </is>
      </c>
      <c r="F207" t="inlineStr">
        <is>
          <t>No</t>
        </is>
      </c>
      <c r="G207" t="inlineStr">
        <is>
          <t>1</t>
        </is>
      </c>
      <c r="H207" t="inlineStr">
        <is>
          <t>No</t>
        </is>
      </c>
      <c r="I207" t="inlineStr">
        <is>
          <t>No</t>
        </is>
      </c>
      <c r="J207" t="inlineStr">
        <is>
          <t>0</t>
        </is>
      </c>
      <c r="K207" t="inlineStr">
        <is>
          <t>Brody, Lora, 1945-</t>
        </is>
      </c>
      <c r="L207" t="inlineStr">
        <is>
          <t>[Lexington, Mass.] : S. Greene Press ; New York, N.Y., U.S.A. : Distributed by Viking Penguin, 1989.</t>
        </is>
      </c>
      <c r="M207" t="inlineStr">
        <is>
          <t>1989</t>
        </is>
      </c>
      <c r="O207" t="inlineStr">
        <is>
          <t>eng</t>
        </is>
      </c>
      <c r="P207" t="inlineStr">
        <is>
          <t>mau</t>
        </is>
      </c>
      <c r="R207" t="inlineStr">
        <is>
          <t xml:space="preserve">TX </t>
        </is>
      </c>
      <c r="S207" t="n">
        <v>2</v>
      </c>
      <c r="T207" t="n">
        <v>2</v>
      </c>
      <c r="U207" t="inlineStr">
        <is>
          <t>1998-01-22</t>
        </is>
      </c>
      <c r="V207" t="inlineStr">
        <is>
          <t>1998-01-22</t>
        </is>
      </c>
      <c r="W207" t="inlineStr">
        <is>
          <t>1998-01-16</t>
        </is>
      </c>
      <c r="X207" t="inlineStr">
        <is>
          <t>1998-01-16</t>
        </is>
      </c>
      <c r="Y207" t="n">
        <v>94</v>
      </c>
      <c r="Z207" t="n">
        <v>91</v>
      </c>
      <c r="AA207" t="n">
        <v>109</v>
      </c>
      <c r="AB207" t="n">
        <v>1</v>
      </c>
      <c r="AC207" t="n">
        <v>1</v>
      </c>
      <c r="AD207" t="n">
        <v>0</v>
      </c>
      <c r="AE207" t="n">
        <v>2</v>
      </c>
      <c r="AF207" t="n">
        <v>0</v>
      </c>
      <c r="AG207" t="n">
        <v>1</v>
      </c>
      <c r="AH207" t="n">
        <v>0</v>
      </c>
      <c r="AI207" t="n">
        <v>1</v>
      </c>
      <c r="AJ207" t="n">
        <v>0</v>
      </c>
      <c r="AK207" t="n">
        <v>0</v>
      </c>
      <c r="AL207" t="n">
        <v>0</v>
      </c>
      <c r="AM207" t="n">
        <v>0</v>
      </c>
      <c r="AN207" t="n">
        <v>0</v>
      </c>
      <c r="AO207" t="n">
        <v>0</v>
      </c>
      <c r="AP207" t="inlineStr">
        <is>
          <t>No</t>
        </is>
      </c>
      <c r="AQ207" t="inlineStr">
        <is>
          <t>Yes</t>
        </is>
      </c>
      <c r="AR207">
        <f>HYPERLINK("http://catalog.hathitrust.org/Record/009180191","HathiTrust Record")</f>
        <v/>
      </c>
      <c r="AS207">
        <f>HYPERLINK("https://creighton-primo.hosted.exlibrisgroup.com/primo-explore/search?tab=default_tab&amp;search_scope=EVERYTHING&amp;vid=01CRU&amp;lang=en_US&amp;offset=0&amp;query=any,contains,991001478049702656","Catalog Record")</f>
        <v/>
      </c>
      <c r="AT207">
        <f>HYPERLINK("http://www.worldcat.org/oclc/19589604","WorldCat Record")</f>
        <v/>
      </c>
      <c r="AU207" t="inlineStr">
        <is>
          <t>657470820:eng</t>
        </is>
      </c>
      <c r="AV207" t="inlineStr">
        <is>
          <t>19589604</t>
        </is>
      </c>
      <c r="AW207" t="inlineStr">
        <is>
          <t>991001478049702656</t>
        </is>
      </c>
      <c r="AX207" t="inlineStr">
        <is>
          <t>991001478049702656</t>
        </is>
      </c>
      <c r="AY207" t="inlineStr">
        <is>
          <t>2264183480002656</t>
        </is>
      </c>
      <c r="AZ207" t="inlineStr">
        <is>
          <t>BOOK</t>
        </is>
      </c>
      <c r="BB207" t="inlineStr">
        <is>
          <t>9780828906678</t>
        </is>
      </c>
      <c r="BC207" t="inlineStr">
        <is>
          <t>32285003303863</t>
        </is>
      </c>
      <c r="BD207" t="inlineStr">
        <is>
          <t>893244165</t>
        </is>
      </c>
    </row>
    <row r="208">
      <c r="A208" t="inlineStr">
        <is>
          <t>No</t>
        </is>
      </c>
      <c r="B208" t="inlineStr">
        <is>
          <t>TX715 .B849145</t>
        </is>
      </c>
      <c r="C208" t="inlineStr">
        <is>
          <t>0                      TX 0715000B  849145</t>
        </is>
      </c>
      <c r="D208" t="inlineStr">
        <is>
          <t>American cooking: the Northwest / by Dale Brown and the editors of Time-Life Books ; studio photography by Richard Meek.</t>
        </is>
      </c>
      <c r="F208" t="inlineStr">
        <is>
          <t>No</t>
        </is>
      </c>
      <c r="G208" t="inlineStr">
        <is>
          <t>1</t>
        </is>
      </c>
      <c r="H208" t="inlineStr">
        <is>
          <t>No</t>
        </is>
      </c>
      <c r="I208" t="inlineStr">
        <is>
          <t>No</t>
        </is>
      </c>
      <c r="J208" t="inlineStr">
        <is>
          <t>0</t>
        </is>
      </c>
      <c r="K208" t="inlineStr">
        <is>
          <t>Brown, Dale M. (Author and editor at Time-Life Books)</t>
        </is>
      </c>
      <c r="L208" t="inlineStr">
        <is>
          <t>New York : Time-Life Books, [1970]</t>
        </is>
      </c>
      <c r="M208" t="inlineStr">
        <is>
          <t>1970</t>
        </is>
      </c>
      <c r="O208" t="inlineStr">
        <is>
          <t>eng</t>
        </is>
      </c>
      <c r="P208" t="inlineStr">
        <is>
          <t>nyu</t>
        </is>
      </c>
      <c r="Q208" t="inlineStr">
        <is>
          <t>Foods of the world</t>
        </is>
      </c>
      <c r="R208" t="inlineStr">
        <is>
          <t xml:space="preserve">TX </t>
        </is>
      </c>
      <c r="S208" t="n">
        <v>7</v>
      </c>
      <c r="T208" t="n">
        <v>7</v>
      </c>
      <c r="U208" t="inlineStr">
        <is>
          <t>1999-01-14</t>
        </is>
      </c>
      <c r="V208" t="inlineStr">
        <is>
          <t>1999-01-14</t>
        </is>
      </c>
      <c r="W208" t="inlineStr">
        <is>
          <t>1992-04-14</t>
        </is>
      </c>
      <c r="X208" t="inlineStr">
        <is>
          <t>1992-04-14</t>
        </is>
      </c>
      <c r="Y208" t="n">
        <v>718</v>
      </c>
      <c r="Z208" t="n">
        <v>687</v>
      </c>
      <c r="AA208" t="n">
        <v>730</v>
      </c>
      <c r="AB208" t="n">
        <v>4</v>
      </c>
      <c r="AC208" t="n">
        <v>4</v>
      </c>
      <c r="AD208" t="n">
        <v>7</v>
      </c>
      <c r="AE208" t="n">
        <v>9</v>
      </c>
      <c r="AF208" t="n">
        <v>3</v>
      </c>
      <c r="AG208" t="n">
        <v>4</v>
      </c>
      <c r="AH208" t="n">
        <v>1</v>
      </c>
      <c r="AI208" t="n">
        <v>1</v>
      </c>
      <c r="AJ208" t="n">
        <v>2</v>
      </c>
      <c r="AK208" t="n">
        <v>3</v>
      </c>
      <c r="AL208" t="n">
        <v>1</v>
      </c>
      <c r="AM208" t="n">
        <v>1</v>
      </c>
      <c r="AN208" t="n">
        <v>0</v>
      </c>
      <c r="AO208" t="n">
        <v>0</v>
      </c>
      <c r="AP208" t="inlineStr">
        <is>
          <t>No</t>
        </is>
      </c>
      <c r="AQ208" t="inlineStr">
        <is>
          <t>No</t>
        </is>
      </c>
      <c r="AS208">
        <f>HYPERLINK("https://creighton-primo.hosted.exlibrisgroup.com/primo-explore/search?tab=default_tab&amp;search_scope=EVERYTHING&amp;vid=01CRU&amp;lang=en_US&amp;offset=0&amp;query=any,contains,991000725689702656","Catalog Record")</f>
        <v/>
      </c>
      <c r="AT208">
        <f>HYPERLINK("http://www.worldcat.org/oclc/127644","WorldCat Record")</f>
        <v/>
      </c>
      <c r="AU208" t="inlineStr">
        <is>
          <t>5608980145:eng</t>
        </is>
      </c>
      <c r="AV208" t="inlineStr">
        <is>
          <t>127644</t>
        </is>
      </c>
      <c r="AW208" t="inlineStr">
        <is>
          <t>991000725689702656</t>
        </is>
      </c>
      <c r="AX208" t="inlineStr">
        <is>
          <t>991000725689702656</t>
        </is>
      </c>
      <c r="AY208" t="inlineStr">
        <is>
          <t>2261420850002656</t>
        </is>
      </c>
      <c r="AZ208" t="inlineStr">
        <is>
          <t>BOOK</t>
        </is>
      </c>
      <c r="BC208" t="inlineStr">
        <is>
          <t>32285001053106</t>
        </is>
      </c>
      <c r="BD208" t="inlineStr">
        <is>
          <t>893496499</t>
        </is>
      </c>
    </row>
    <row r="209">
      <c r="A209" t="inlineStr">
        <is>
          <t>No</t>
        </is>
      </c>
      <c r="B209" t="inlineStr">
        <is>
          <t>TX715 .B87172</t>
        </is>
      </c>
      <c r="C209" t="inlineStr">
        <is>
          <t>0                      TX 0715000B  87172</t>
        </is>
      </c>
      <c r="D209" t="inlineStr">
        <is>
          <t>American cooking / by Dale Brown and the editors of Time-Life Books ; photographed by Mark Kauffman.</t>
        </is>
      </c>
      <c r="F209" t="inlineStr">
        <is>
          <t>No</t>
        </is>
      </c>
      <c r="G209" t="inlineStr">
        <is>
          <t>1</t>
        </is>
      </c>
      <c r="H209" t="inlineStr">
        <is>
          <t>No</t>
        </is>
      </c>
      <c r="I209" t="inlineStr">
        <is>
          <t>No</t>
        </is>
      </c>
      <c r="J209" t="inlineStr">
        <is>
          <t>0</t>
        </is>
      </c>
      <c r="K209" t="inlineStr">
        <is>
          <t>Brown, Dale M. (Author and editor at Time-Life Books)</t>
        </is>
      </c>
      <c r="L209" t="inlineStr">
        <is>
          <t>New York : Time Life Books, [1968]</t>
        </is>
      </c>
      <c r="M209" t="inlineStr">
        <is>
          <t>1968</t>
        </is>
      </c>
      <c r="O209" t="inlineStr">
        <is>
          <t>eng</t>
        </is>
      </c>
      <c r="P209" t="inlineStr">
        <is>
          <t>nyu</t>
        </is>
      </c>
      <c r="Q209" t="inlineStr">
        <is>
          <t>Foods of the world</t>
        </is>
      </c>
      <c r="R209" t="inlineStr">
        <is>
          <t xml:space="preserve">TX </t>
        </is>
      </c>
      <c r="S209" t="n">
        <v>9</v>
      </c>
      <c r="T209" t="n">
        <v>9</v>
      </c>
      <c r="U209" t="inlineStr">
        <is>
          <t>1997-03-03</t>
        </is>
      </c>
      <c r="V209" t="inlineStr">
        <is>
          <t>1997-03-03</t>
        </is>
      </c>
      <c r="W209" t="inlineStr">
        <is>
          <t>1995-03-28</t>
        </is>
      </c>
      <c r="X209" t="inlineStr">
        <is>
          <t>1995-03-28</t>
        </is>
      </c>
      <c r="Y209" t="n">
        <v>871</v>
      </c>
      <c r="Z209" t="n">
        <v>823</v>
      </c>
      <c r="AA209" t="n">
        <v>938</v>
      </c>
      <c r="AB209" t="n">
        <v>5</v>
      </c>
      <c r="AC209" t="n">
        <v>5</v>
      </c>
      <c r="AD209" t="n">
        <v>9</v>
      </c>
      <c r="AE209" t="n">
        <v>10</v>
      </c>
      <c r="AF209" t="n">
        <v>6</v>
      </c>
      <c r="AG209" t="n">
        <v>7</v>
      </c>
      <c r="AH209" t="n">
        <v>0</v>
      </c>
      <c r="AI209" t="n">
        <v>0</v>
      </c>
      <c r="AJ209" t="n">
        <v>4</v>
      </c>
      <c r="AK209" t="n">
        <v>5</v>
      </c>
      <c r="AL209" t="n">
        <v>1</v>
      </c>
      <c r="AM209" t="n">
        <v>1</v>
      </c>
      <c r="AN209" t="n">
        <v>0</v>
      </c>
      <c r="AO209" t="n">
        <v>0</v>
      </c>
      <c r="AP209" t="inlineStr">
        <is>
          <t>No</t>
        </is>
      </c>
      <c r="AQ209" t="inlineStr">
        <is>
          <t>Yes</t>
        </is>
      </c>
      <c r="AR209">
        <f>HYPERLINK("http://catalog.hathitrust.org/Record/007473270","HathiTrust Record")</f>
        <v/>
      </c>
      <c r="AS209">
        <f>HYPERLINK("https://creighton-primo.hosted.exlibrisgroup.com/primo-explore/search?tab=default_tab&amp;search_scope=EVERYTHING&amp;vid=01CRU&amp;lang=en_US&amp;offset=0&amp;query=any,contains,991002887899702656","Catalog Record")</f>
        <v/>
      </c>
      <c r="AT209">
        <f>HYPERLINK("http://www.worldcat.org/oclc/509832","WorldCat Record")</f>
        <v/>
      </c>
      <c r="AU209" t="inlineStr">
        <is>
          <t>1150923884:eng</t>
        </is>
      </c>
      <c r="AV209" t="inlineStr">
        <is>
          <t>509832</t>
        </is>
      </c>
      <c r="AW209" t="inlineStr">
        <is>
          <t>991002887899702656</t>
        </is>
      </c>
      <c r="AX209" t="inlineStr">
        <is>
          <t>991002887899702656</t>
        </is>
      </c>
      <c r="AY209" t="inlineStr">
        <is>
          <t>2261623170002656</t>
        </is>
      </c>
      <c r="AZ209" t="inlineStr">
        <is>
          <t>BOOK</t>
        </is>
      </c>
      <c r="BC209" t="inlineStr">
        <is>
          <t>32285002020559</t>
        </is>
      </c>
      <c r="BD209" t="inlineStr">
        <is>
          <t>893535237</t>
        </is>
      </c>
    </row>
    <row r="210">
      <c r="A210" t="inlineStr">
        <is>
          <t>No</t>
        </is>
      </c>
      <c r="B210" t="inlineStr">
        <is>
          <t>TX715 .F8754 1988</t>
        </is>
      </c>
      <c r="C210" t="inlineStr">
        <is>
          <t>0                      TX 0715000F  8754        1988</t>
        </is>
      </c>
      <c r="D210" t="inlineStr">
        <is>
          <t>Prairie kitchen sampler / by E. Mae Fritz.</t>
        </is>
      </c>
      <c r="F210" t="inlineStr">
        <is>
          <t>No</t>
        </is>
      </c>
      <c r="G210" t="inlineStr">
        <is>
          <t>1</t>
        </is>
      </c>
      <c r="H210" t="inlineStr">
        <is>
          <t>No</t>
        </is>
      </c>
      <c r="I210" t="inlineStr">
        <is>
          <t>No</t>
        </is>
      </c>
      <c r="J210" t="inlineStr">
        <is>
          <t>0</t>
        </is>
      </c>
      <c r="K210" t="inlineStr">
        <is>
          <t>Fritz, E. Mae.</t>
        </is>
      </c>
      <c r="L210" t="inlineStr">
        <is>
          <t>[Phoenix, Ariz.] : Prairie Winds Press, [c1988]</t>
        </is>
      </c>
      <c r="M210" t="inlineStr">
        <is>
          <t>1988</t>
        </is>
      </c>
      <c r="O210" t="inlineStr">
        <is>
          <t>eng</t>
        </is>
      </c>
      <c r="P210" t="inlineStr">
        <is>
          <t>azu</t>
        </is>
      </c>
      <c r="R210" t="inlineStr">
        <is>
          <t xml:space="preserve">TX </t>
        </is>
      </c>
      <c r="S210" t="n">
        <v>4</v>
      </c>
      <c r="T210" t="n">
        <v>4</v>
      </c>
      <c r="U210" t="inlineStr">
        <is>
          <t>1998-09-15</t>
        </is>
      </c>
      <c r="V210" t="inlineStr">
        <is>
          <t>1998-09-15</t>
        </is>
      </c>
      <c r="W210" t="inlineStr">
        <is>
          <t>1993-11-30</t>
        </is>
      </c>
      <c r="X210" t="inlineStr">
        <is>
          <t>1993-11-30</t>
        </is>
      </c>
      <c r="Y210" t="n">
        <v>74</v>
      </c>
      <c r="Z210" t="n">
        <v>73</v>
      </c>
      <c r="AA210" t="n">
        <v>178</v>
      </c>
      <c r="AB210" t="n">
        <v>12</v>
      </c>
      <c r="AC210" t="n">
        <v>15</v>
      </c>
      <c r="AD210" t="n">
        <v>1</v>
      </c>
      <c r="AE210" t="n">
        <v>2</v>
      </c>
      <c r="AF210" t="n">
        <v>0</v>
      </c>
      <c r="AG210" t="n">
        <v>0</v>
      </c>
      <c r="AH210" t="n">
        <v>0</v>
      </c>
      <c r="AI210" t="n">
        <v>0</v>
      </c>
      <c r="AJ210" t="n">
        <v>0</v>
      </c>
      <c r="AK210" t="n">
        <v>0</v>
      </c>
      <c r="AL210" t="n">
        <v>1</v>
      </c>
      <c r="AM210" t="n">
        <v>2</v>
      </c>
      <c r="AN210" t="n">
        <v>0</v>
      </c>
      <c r="AO210" t="n">
        <v>0</v>
      </c>
      <c r="AP210" t="inlineStr">
        <is>
          <t>No</t>
        </is>
      </c>
      <c r="AQ210" t="inlineStr">
        <is>
          <t>No</t>
        </is>
      </c>
      <c r="AS210">
        <f>HYPERLINK("https://creighton-primo.hosted.exlibrisgroup.com/primo-explore/search?tab=default_tab&amp;search_scope=EVERYTHING&amp;vid=01CRU&amp;lang=en_US&amp;offset=0&amp;query=any,contains,991001728579702656","Catalog Record")</f>
        <v/>
      </c>
      <c r="AT210">
        <f>HYPERLINK("http://www.worldcat.org/oclc/21907340","WorldCat Record")</f>
        <v/>
      </c>
      <c r="AU210" t="inlineStr">
        <is>
          <t>22991700:eng</t>
        </is>
      </c>
      <c r="AV210" t="inlineStr">
        <is>
          <t>21907340</t>
        </is>
      </c>
      <c r="AW210" t="inlineStr">
        <is>
          <t>991001728579702656</t>
        </is>
      </c>
      <c r="AX210" t="inlineStr">
        <is>
          <t>991001728579702656</t>
        </is>
      </c>
      <c r="AY210" t="inlineStr">
        <is>
          <t>2272404740002656</t>
        </is>
      </c>
      <c r="AZ210" t="inlineStr">
        <is>
          <t>BOOK</t>
        </is>
      </c>
      <c r="BB210" t="inlineStr">
        <is>
          <t>9780962040405</t>
        </is>
      </c>
      <c r="BC210" t="inlineStr">
        <is>
          <t>32285001813830</t>
        </is>
      </c>
      <c r="BD210" t="inlineStr">
        <is>
          <t>893433068</t>
        </is>
      </c>
    </row>
    <row r="211">
      <c r="A211" t="inlineStr">
        <is>
          <t>No</t>
        </is>
      </c>
      <c r="B211" t="inlineStr">
        <is>
          <t>TX715 .G647 1988</t>
        </is>
      </c>
      <c r="C211" t="inlineStr">
        <is>
          <t>0                      TX 0715000G  647         1988</t>
        </is>
      </c>
      <c r="D211" t="inlineStr">
        <is>
          <t>The best of Amish cooking : traditional and contemporary recipes adapted from the kitchens and pantries of old order Amish cooks / Phyllis Pellman Good.</t>
        </is>
      </c>
      <c r="F211" t="inlineStr">
        <is>
          <t>No</t>
        </is>
      </c>
      <c r="G211" t="inlineStr">
        <is>
          <t>1</t>
        </is>
      </c>
      <c r="H211" t="inlineStr">
        <is>
          <t>No</t>
        </is>
      </c>
      <c r="I211" t="inlineStr">
        <is>
          <t>No</t>
        </is>
      </c>
      <c r="J211" t="inlineStr">
        <is>
          <t>0</t>
        </is>
      </c>
      <c r="K211" t="inlineStr">
        <is>
          <t>Good, Phyllis Pellman, 1948-</t>
        </is>
      </c>
      <c r="L211" t="inlineStr">
        <is>
          <t>Intercourse, Pa. : Good Books, c1988.</t>
        </is>
      </c>
      <c r="M211" t="inlineStr">
        <is>
          <t>1988</t>
        </is>
      </c>
      <c r="O211" t="inlineStr">
        <is>
          <t>eng</t>
        </is>
      </c>
      <c r="P211" t="inlineStr">
        <is>
          <t>pau</t>
        </is>
      </c>
      <c r="R211" t="inlineStr">
        <is>
          <t xml:space="preserve">TX </t>
        </is>
      </c>
      <c r="S211" t="n">
        <v>8</v>
      </c>
      <c r="T211" t="n">
        <v>8</v>
      </c>
      <c r="U211" t="inlineStr">
        <is>
          <t>2008-10-20</t>
        </is>
      </c>
      <c r="V211" t="inlineStr">
        <is>
          <t>2008-10-20</t>
        </is>
      </c>
      <c r="W211" t="inlineStr">
        <is>
          <t>1992-05-21</t>
        </is>
      </c>
      <c r="X211" t="inlineStr">
        <is>
          <t>1992-05-21</t>
        </is>
      </c>
      <c r="Y211" t="n">
        <v>628</v>
      </c>
      <c r="Z211" t="n">
        <v>608</v>
      </c>
      <c r="AA211" t="n">
        <v>814</v>
      </c>
      <c r="AB211" t="n">
        <v>3</v>
      </c>
      <c r="AC211" t="n">
        <v>5</v>
      </c>
      <c r="AD211" t="n">
        <v>1</v>
      </c>
      <c r="AE211" t="n">
        <v>1</v>
      </c>
      <c r="AF211" t="n">
        <v>0</v>
      </c>
      <c r="AG211" t="n">
        <v>0</v>
      </c>
      <c r="AH211" t="n">
        <v>0</v>
      </c>
      <c r="AI211" t="n">
        <v>0</v>
      </c>
      <c r="AJ211" t="n">
        <v>0</v>
      </c>
      <c r="AK211" t="n">
        <v>0</v>
      </c>
      <c r="AL211" t="n">
        <v>1</v>
      </c>
      <c r="AM211" t="n">
        <v>1</v>
      </c>
      <c r="AN211" t="n">
        <v>0</v>
      </c>
      <c r="AO211" t="n">
        <v>0</v>
      </c>
      <c r="AP211" t="inlineStr">
        <is>
          <t>No</t>
        </is>
      </c>
      <c r="AQ211" t="inlineStr">
        <is>
          <t>No</t>
        </is>
      </c>
      <c r="AS211">
        <f>HYPERLINK("https://creighton-primo.hosted.exlibrisgroup.com/primo-explore/search?tab=default_tab&amp;search_scope=EVERYTHING&amp;vid=01CRU&amp;lang=en_US&amp;offset=0&amp;query=any,contains,991001338849702656","Catalog Record")</f>
        <v/>
      </c>
      <c r="AT211">
        <f>HYPERLINK("http://www.worldcat.org/oclc/18379252","WorldCat Record")</f>
        <v/>
      </c>
      <c r="AU211" t="inlineStr">
        <is>
          <t>775625:eng</t>
        </is>
      </c>
      <c r="AV211" t="inlineStr">
        <is>
          <t>18379252</t>
        </is>
      </c>
      <c r="AW211" t="inlineStr">
        <is>
          <t>991001338849702656</t>
        </is>
      </c>
      <c r="AX211" t="inlineStr">
        <is>
          <t>991001338849702656</t>
        </is>
      </c>
      <c r="AY211" t="inlineStr">
        <is>
          <t>2269887530002656</t>
        </is>
      </c>
      <c r="AZ211" t="inlineStr">
        <is>
          <t>BOOK</t>
        </is>
      </c>
      <c r="BB211" t="inlineStr">
        <is>
          <t>9780934672702</t>
        </is>
      </c>
      <c r="BC211" t="inlineStr">
        <is>
          <t>32285001112712</t>
        </is>
      </c>
      <c r="BD211" t="inlineStr">
        <is>
          <t>893772521</t>
        </is>
      </c>
    </row>
    <row r="212">
      <c r="A212" t="inlineStr">
        <is>
          <t>No</t>
        </is>
      </c>
      <c r="B212" t="inlineStr">
        <is>
          <t>TX715 .K217 1977</t>
        </is>
      </c>
      <c r="C212" t="inlineStr">
        <is>
          <t>0                      TX 0715000K  217         1977</t>
        </is>
      </c>
      <c r="D212" t="inlineStr">
        <is>
          <t>Pueblo &amp; Navajo cookery / Marcia Keegan.</t>
        </is>
      </c>
      <c r="F212" t="inlineStr">
        <is>
          <t>No</t>
        </is>
      </c>
      <c r="G212" t="inlineStr">
        <is>
          <t>1</t>
        </is>
      </c>
      <c r="H212" t="inlineStr">
        <is>
          <t>No</t>
        </is>
      </c>
      <c r="I212" t="inlineStr">
        <is>
          <t>No</t>
        </is>
      </c>
      <c r="J212" t="inlineStr">
        <is>
          <t>0</t>
        </is>
      </c>
      <c r="K212" t="inlineStr">
        <is>
          <t>Keegan, Marcia.</t>
        </is>
      </c>
      <c r="L212" t="inlineStr">
        <is>
          <t>Dobbs Ferry, N.Y. : Earth Books, c1977.</t>
        </is>
      </c>
      <c r="M212" t="inlineStr">
        <is>
          <t>1977</t>
        </is>
      </c>
      <c r="O212" t="inlineStr">
        <is>
          <t>eng</t>
        </is>
      </c>
      <c r="P212" t="inlineStr">
        <is>
          <t>nyu</t>
        </is>
      </c>
      <c r="R212" t="inlineStr">
        <is>
          <t xml:space="preserve">TX </t>
        </is>
      </c>
      <c r="S212" t="n">
        <v>1</v>
      </c>
      <c r="T212" t="n">
        <v>1</v>
      </c>
      <c r="U212" t="inlineStr">
        <is>
          <t>2005-07-27</t>
        </is>
      </c>
      <c r="V212" t="inlineStr">
        <is>
          <t>2005-07-27</t>
        </is>
      </c>
      <c r="W212" t="inlineStr">
        <is>
          <t>2005-07-26</t>
        </is>
      </c>
      <c r="X212" t="inlineStr">
        <is>
          <t>2005-07-26</t>
        </is>
      </c>
      <c r="Y212" t="n">
        <v>119</v>
      </c>
      <c r="Z212" t="n">
        <v>113</v>
      </c>
      <c r="AA212" t="n">
        <v>115</v>
      </c>
      <c r="AB212" t="n">
        <v>2</v>
      </c>
      <c r="AC212" t="n">
        <v>2</v>
      </c>
      <c r="AD212" t="n">
        <v>1</v>
      </c>
      <c r="AE212" t="n">
        <v>1</v>
      </c>
      <c r="AF212" t="n">
        <v>0</v>
      </c>
      <c r="AG212" t="n">
        <v>0</v>
      </c>
      <c r="AH212" t="n">
        <v>0</v>
      </c>
      <c r="AI212" t="n">
        <v>0</v>
      </c>
      <c r="AJ212" t="n">
        <v>0</v>
      </c>
      <c r="AK212" t="n">
        <v>0</v>
      </c>
      <c r="AL212" t="n">
        <v>1</v>
      </c>
      <c r="AM212" t="n">
        <v>1</v>
      </c>
      <c r="AN212" t="n">
        <v>0</v>
      </c>
      <c r="AO212" t="n">
        <v>0</v>
      </c>
      <c r="AP212" t="inlineStr">
        <is>
          <t>No</t>
        </is>
      </c>
      <c r="AQ212" t="inlineStr">
        <is>
          <t>No</t>
        </is>
      </c>
      <c r="AS212">
        <f>HYPERLINK("https://creighton-primo.hosted.exlibrisgroup.com/primo-explore/search?tab=default_tab&amp;search_scope=EVERYTHING&amp;vid=01CRU&amp;lang=en_US&amp;offset=0&amp;query=any,contains,991004619429702656","Catalog Record")</f>
        <v/>
      </c>
      <c r="AT212">
        <f>HYPERLINK("http://www.worldcat.org/oclc/4056328","WorldCat Record")</f>
        <v/>
      </c>
      <c r="AU212" t="inlineStr">
        <is>
          <t>13712912:eng</t>
        </is>
      </c>
      <c r="AV212" t="inlineStr">
        <is>
          <t>4056328</t>
        </is>
      </c>
      <c r="AW212" t="inlineStr">
        <is>
          <t>991004619429702656</t>
        </is>
      </c>
      <c r="AX212" t="inlineStr">
        <is>
          <t>991004619429702656</t>
        </is>
      </c>
      <c r="AY212" t="inlineStr">
        <is>
          <t>2272006880002656</t>
        </is>
      </c>
      <c r="AZ212" t="inlineStr">
        <is>
          <t>BOOK</t>
        </is>
      </c>
      <c r="BB212" t="inlineStr">
        <is>
          <t>9780871001351</t>
        </is>
      </c>
      <c r="BC212" t="inlineStr">
        <is>
          <t>32285005097521</t>
        </is>
      </c>
      <c r="BD212" t="inlineStr">
        <is>
          <t>893801149</t>
        </is>
      </c>
    </row>
    <row r="213">
      <c r="A213" t="inlineStr">
        <is>
          <t>No</t>
        </is>
      </c>
      <c r="B213" t="inlineStr">
        <is>
          <t>TX715 .K379 1976</t>
        </is>
      </c>
      <c r="C213" t="inlineStr">
        <is>
          <t>0                      TX 0715000K  379         1976</t>
        </is>
      </c>
      <c r="D213" t="inlineStr">
        <is>
          <t>The new seasoning / Graham Kerr.</t>
        </is>
      </c>
      <c r="F213" t="inlineStr">
        <is>
          <t>No</t>
        </is>
      </c>
      <c r="G213" t="inlineStr">
        <is>
          <t>1</t>
        </is>
      </c>
      <c r="H213" t="inlineStr">
        <is>
          <t>No</t>
        </is>
      </c>
      <c r="I213" t="inlineStr">
        <is>
          <t>No</t>
        </is>
      </c>
      <c r="J213" t="inlineStr">
        <is>
          <t>0</t>
        </is>
      </c>
      <c r="K213" t="inlineStr">
        <is>
          <t>Kerr, Graham, 1934-</t>
        </is>
      </c>
      <c r="L213" t="inlineStr">
        <is>
          <t>New York : Simon and Schuster, c1976.</t>
        </is>
      </c>
      <c r="M213" t="inlineStr">
        <is>
          <t>1976</t>
        </is>
      </c>
      <c r="O213" t="inlineStr">
        <is>
          <t>eng</t>
        </is>
      </c>
      <c r="P213" t="inlineStr">
        <is>
          <t>nyu</t>
        </is>
      </c>
      <c r="R213" t="inlineStr">
        <is>
          <t xml:space="preserve">TX </t>
        </is>
      </c>
      <c r="S213" t="n">
        <v>4</v>
      </c>
      <c r="T213" t="n">
        <v>4</v>
      </c>
      <c r="U213" t="inlineStr">
        <is>
          <t>1999-12-14</t>
        </is>
      </c>
      <c r="V213" t="inlineStr">
        <is>
          <t>1999-12-14</t>
        </is>
      </c>
      <c r="W213" t="inlineStr">
        <is>
          <t>1993-08-03</t>
        </is>
      </c>
      <c r="X213" t="inlineStr">
        <is>
          <t>1993-08-03</t>
        </is>
      </c>
      <c r="Y213" t="n">
        <v>221</v>
      </c>
      <c r="Z213" t="n">
        <v>207</v>
      </c>
      <c r="AA213" t="n">
        <v>221</v>
      </c>
      <c r="AB213" t="n">
        <v>3</v>
      </c>
      <c r="AC213" t="n">
        <v>3</v>
      </c>
      <c r="AD213" t="n">
        <v>2</v>
      </c>
      <c r="AE213" t="n">
        <v>2</v>
      </c>
      <c r="AF213" t="n">
        <v>0</v>
      </c>
      <c r="AG213" t="n">
        <v>0</v>
      </c>
      <c r="AH213" t="n">
        <v>0</v>
      </c>
      <c r="AI213" t="n">
        <v>0</v>
      </c>
      <c r="AJ213" t="n">
        <v>0</v>
      </c>
      <c r="AK213" t="n">
        <v>0</v>
      </c>
      <c r="AL213" t="n">
        <v>2</v>
      </c>
      <c r="AM213" t="n">
        <v>2</v>
      </c>
      <c r="AN213" t="n">
        <v>0</v>
      </c>
      <c r="AO213" t="n">
        <v>0</v>
      </c>
      <c r="AP213" t="inlineStr">
        <is>
          <t>No</t>
        </is>
      </c>
      <c r="AQ213" t="inlineStr">
        <is>
          <t>No</t>
        </is>
      </c>
      <c r="AS213">
        <f>HYPERLINK("https://creighton-primo.hosted.exlibrisgroup.com/primo-explore/search?tab=default_tab&amp;search_scope=EVERYTHING&amp;vid=01CRU&amp;lang=en_US&amp;offset=0&amp;query=any,contains,991004030619702656","Catalog Record")</f>
        <v/>
      </c>
      <c r="AT213">
        <f>HYPERLINK("http://www.worldcat.org/oclc/2151202","WorldCat Record")</f>
        <v/>
      </c>
      <c r="AU213" t="inlineStr">
        <is>
          <t>3744474:eng</t>
        </is>
      </c>
      <c r="AV213" t="inlineStr">
        <is>
          <t>2151202</t>
        </is>
      </c>
      <c r="AW213" t="inlineStr">
        <is>
          <t>991004030619702656</t>
        </is>
      </c>
      <c r="AX213" t="inlineStr">
        <is>
          <t>991004030619702656</t>
        </is>
      </c>
      <c r="AY213" t="inlineStr">
        <is>
          <t>2261403640002656</t>
        </is>
      </c>
      <c r="AZ213" t="inlineStr">
        <is>
          <t>BOOK</t>
        </is>
      </c>
      <c r="BB213" t="inlineStr">
        <is>
          <t>9780671221720</t>
        </is>
      </c>
      <c r="BC213" t="inlineStr">
        <is>
          <t>32285001749299</t>
        </is>
      </c>
      <c r="BD213" t="inlineStr">
        <is>
          <t>893525550</t>
        </is>
      </c>
    </row>
    <row r="214">
      <c r="A214" t="inlineStr">
        <is>
          <t>No</t>
        </is>
      </c>
      <c r="B214" t="inlineStr">
        <is>
          <t>TX715 .K4993 1975</t>
        </is>
      </c>
      <c r="C214" t="inlineStr">
        <is>
          <t>0                      TX 0715000K  4993        1975</t>
        </is>
      </c>
      <c r="D214" t="inlineStr">
        <is>
          <t>Loaves &amp; fishes : foods from Bible times / Malvina Kinard and Janet Crisler.</t>
        </is>
      </c>
      <c r="F214" t="inlineStr">
        <is>
          <t>No</t>
        </is>
      </c>
      <c r="G214" t="inlineStr">
        <is>
          <t>1</t>
        </is>
      </c>
      <c r="H214" t="inlineStr">
        <is>
          <t>No</t>
        </is>
      </c>
      <c r="I214" t="inlineStr">
        <is>
          <t>No</t>
        </is>
      </c>
      <c r="J214" t="inlineStr">
        <is>
          <t>0</t>
        </is>
      </c>
      <c r="K214" t="inlineStr">
        <is>
          <t>Kinard, Malvina C.</t>
        </is>
      </c>
      <c r="L214" t="inlineStr">
        <is>
          <t>New Canaan, Conn. : Keats Pub., 1975.</t>
        </is>
      </c>
      <c r="M214" t="inlineStr">
        <is>
          <t>1975</t>
        </is>
      </c>
      <c r="O214" t="inlineStr">
        <is>
          <t>eng</t>
        </is>
      </c>
      <c r="P214" t="inlineStr">
        <is>
          <t>ctu</t>
        </is>
      </c>
      <c r="R214" t="inlineStr">
        <is>
          <t xml:space="preserve">TX </t>
        </is>
      </c>
      <c r="S214" t="n">
        <v>3</v>
      </c>
      <c r="T214" t="n">
        <v>3</v>
      </c>
      <c r="U214" t="inlineStr">
        <is>
          <t>1999-07-21</t>
        </is>
      </c>
      <c r="V214" t="inlineStr">
        <is>
          <t>1999-07-21</t>
        </is>
      </c>
      <c r="W214" t="inlineStr">
        <is>
          <t>1992-08-26</t>
        </is>
      </c>
      <c r="X214" t="inlineStr">
        <is>
          <t>1992-08-26</t>
        </is>
      </c>
      <c r="Y214" t="n">
        <v>203</v>
      </c>
      <c r="Z214" t="n">
        <v>184</v>
      </c>
      <c r="AA214" t="n">
        <v>222</v>
      </c>
      <c r="AB214" t="n">
        <v>1</v>
      </c>
      <c r="AC214" t="n">
        <v>1</v>
      </c>
      <c r="AD214" t="n">
        <v>1</v>
      </c>
      <c r="AE214" t="n">
        <v>2</v>
      </c>
      <c r="AF214" t="n">
        <v>0</v>
      </c>
      <c r="AG214" t="n">
        <v>1</v>
      </c>
      <c r="AH214" t="n">
        <v>0</v>
      </c>
      <c r="AI214" t="n">
        <v>0</v>
      </c>
      <c r="AJ214" t="n">
        <v>1</v>
      </c>
      <c r="AK214" t="n">
        <v>1</v>
      </c>
      <c r="AL214" t="n">
        <v>0</v>
      </c>
      <c r="AM214" t="n">
        <v>0</v>
      </c>
      <c r="AN214" t="n">
        <v>0</v>
      </c>
      <c r="AO214" t="n">
        <v>0</v>
      </c>
      <c r="AP214" t="inlineStr">
        <is>
          <t>No</t>
        </is>
      </c>
      <c r="AQ214" t="inlineStr">
        <is>
          <t>No</t>
        </is>
      </c>
      <c r="AS214">
        <f>HYPERLINK("https://creighton-primo.hosted.exlibrisgroup.com/primo-explore/search?tab=default_tab&amp;search_scope=EVERYTHING&amp;vid=01CRU&amp;lang=en_US&amp;offset=0&amp;query=any,contains,991003972079702656","Catalog Record")</f>
        <v/>
      </c>
      <c r="AT214">
        <f>HYPERLINK("http://www.worldcat.org/oclc/1993003","WorldCat Record")</f>
        <v/>
      </c>
      <c r="AU214" t="inlineStr">
        <is>
          <t>3409717:eng</t>
        </is>
      </c>
      <c r="AV214" t="inlineStr">
        <is>
          <t>1993003</t>
        </is>
      </c>
      <c r="AW214" t="inlineStr">
        <is>
          <t>991003972079702656</t>
        </is>
      </c>
      <c r="AX214" t="inlineStr">
        <is>
          <t>991003972079702656</t>
        </is>
      </c>
      <c r="AY214" t="inlineStr">
        <is>
          <t>2263137990002656</t>
        </is>
      </c>
      <c r="AZ214" t="inlineStr">
        <is>
          <t>BOOK</t>
        </is>
      </c>
      <c r="BB214" t="inlineStr">
        <is>
          <t>9780879831103</t>
        </is>
      </c>
      <c r="BC214" t="inlineStr">
        <is>
          <t>32285001272961</t>
        </is>
      </c>
      <c r="BD214" t="inlineStr">
        <is>
          <t>893442014</t>
        </is>
      </c>
    </row>
    <row r="215">
      <c r="A215" t="inlineStr">
        <is>
          <t>No</t>
        </is>
      </c>
      <c r="B215" t="inlineStr">
        <is>
          <t>TX715 .L5982</t>
        </is>
      </c>
      <c r="C215" t="inlineStr">
        <is>
          <t>0                      TX 0715000L  5982</t>
        </is>
      </c>
      <c r="D215" t="inlineStr">
        <is>
          <t>American cooking, the great West / by Jonathan Norton Leonard and the editors of Time-Life Books. Photography by Mark Kauffman, Richard Meek, and Ted Streshinsky.</t>
        </is>
      </c>
      <c r="F215" t="inlineStr">
        <is>
          <t>No</t>
        </is>
      </c>
      <c r="G215" t="inlineStr">
        <is>
          <t>1</t>
        </is>
      </c>
      <c r="H215" t="inlineStr">
        <is>
          <t>No</t>
        </is>
      </c>
      <c r="I215" t="inlineStr">
        <is>
          <t>No</t>
        </is>
      </c>
      <c r="J215" t="inlineStr">
        <is>
          <t>0</t>
        </is>
      </c>
      <c r="K215" t="inlineStr">
        <is>
          <t>Leonard, Jonathan Norton, 1903-1975.</t>
        </is>
      </c>
      <c r="L215" t="inlineStr">
        <is>
          <t>New York : Time-Life Books, [1971]</t>
        </is>
      </c>
      <c r="M215" t="inlineStr">
        <is>
          <t>1971</t>
        </is>
      </c>
      <c r="O215" t="inlineStr">
        <is>
          <t>eng</t>
        </is>
      </c>
      <c r="P215" t="inlineStr">
        <is>
          <t>nyu</t>
        </is>
      </c>
      <c r="Q215" t="inlineStr">
        <is>
          <t>Foods of the world</t>
        </is>
      </c>
      <c r="R215" t="inlineStr">
        <is>
          <t xml:space="preserve">TX </t>
        </is>
      </c>
      <c r="S215" t="n">
        <v>5</v>
      </c>
      <c r="T215" t="n">
        <v>5</v>
      </c>
      <c r="U215" t="inlineStr">
        <is>
          <t>1996-02-29</t>
        </is>
      </c>
      <c r="V215" t="inlineStr">
        <is>
          <t>1996-02-29</t>
        </is>
      </c>
      <c r="W215" t="inlineStr">
        <is>
          <t>1994-02-28</t>
        </is>
      </c>
      <c r="X215" t="inlineStr">
        <is>
          <t>1994-02-28</t>
        </is>
      </c>
      <c r="Y215" t="n">
        <v>731</v>
      </c>
      <c r="Z215" t="n">
        <v>713</v>
      </c>
      <c r="AA215" t="n">
        <v>790</v>
      </c>
      <c r="AB215" t="n">
        <v>4</v>
      </c>
      <c r="AC215" t="n">
        <v>4</v>
      </c>
      <c r="AD215" t="n">
        <v>7</v>
      </c>
      <c r="AE215" t="n">
        <v>8</v>
      </c>
      <c r="AF215" t="n">
        <v>4</v>
      </c>
      <c r="AG215" t="n">
        <v>4</v>
      </c>
      <c r="AH215" t="n">
        <v>0</v>
      </c>
      <c r="AI215" t="n">
        <v>0</v>
      </c>
      <c r="AJ215" t="n">
        <v>3</v>
      </c>
      <c r="AK215" t="n">
        <v>4</v>
      </c>
      <c r="AL215" t="n">
        <v>1</v>
      </c>
      <c r="AM215" t="n">
        <v>1</v>
      </c>
      <c r="AN215" t="n">
        <v>0</v>
      </c>
      <c r="AO215" t="n">
        <v>0</v>
      </c>
      <c r="AP215" t="inlineStr">
        <is>
          <t>No</t>
        </is>
      </c>
      <c r="AQ215" t="inlineStr">
        <is>
          <t>No</t>
        </is>
      </c>
      <c r="AS215">
        <f>HYPERLINK("https://creighton-primo.hosted.exlibrisgroup.com/primo-explore/search?tab=default_tab&amp;search_scope=EVERYTHING&amp;vid=01CRU&amp;lang=en_US&amp;offset=0&amp;query=any,contains,991000862069702656","Catalog Record")</f>
        <v/>
      </c>
      <c r="AT215">
        <f>HYPERLINK("http://www.worldcat.org/oclc/150494","WorldCat Record")</f>
        <v/>
      </c>
      <c r="AU215" t="inlineStr">
        <is>
          <t>1168652:eng</t>
        </is>
      </c>
      <c r="AV215" t="inlineStr">
        <is>
          <t>150494</t>
        </is>
      </c>
      <c r="AW215" t="inlineStr">
        <is>
          <t>991000862069702656</t>
        </is>
      </c>
      <c r="AX215" t="inlineStr">
        <is>
          <t>991000862069702656</t>
        </is>
      </c>
      <c r="AY215" t="inlineStr">
        <is>
          <t>2271128590002656</t>
        </is>
      </c>
      <c r="AZ215" t="inlineStr">
        <is>
          <t>BOOK</t>
        </is>
      </c>
      <c r="BC215" t="inlineStr">
        <is>
          <t>32285001850378</t>
        </is>
      </c>
      <c r="BD215" t="inlineStr">
        <is>
          <t>893772046</t>
        </is>
      </c>
    </row>
    <row r="216">
      <c r="A216" t="inlineStr">
        <is>
          <t>No</t>
        </is>
      </c>
      <c r="B216" t="inlineStr">
        <is>
          <t>TX715 .L68 1999</t>
        </is>
      </c>
      <c r="C216" t="inlineStr">
        <is>
          <t>0                      TX 0715000L  68          1999</t>
        </is>
      </c>
      <c r="D216" t="inlineStr">
        <is>
          <t>Loving memories : Trans-Mississippi 1898 and Greater America 1899.</t>
        </is>
      </c>
      <c r="F216" t="inlineStr">
        <is>
          <t>No</t>
        </is>
      </c>
      <c r="G216" t="inlineStr">
        <is>
          <t>1</t>
        </is>
      </c>
      <c r="H216" t="inlineStr">
        <is>
          <t>No</t>
        </is>
      </c>
      <c r="I216" t="inlineStr">
        <is>
          <t>No</t>
        </is>
      </c>
      <c r="J216" t="inlineStr">
        <is>
          <t>0</t>
        </is>
      </c>
      <c r="L216" t="inlineStr">
        <is>
          <t>Kearney, Neb. : Morris Press, 1999.</t>
        </is>
      </c>
      <c r="M216" t="inlineStr">
        <is>
          <t>1999</t>
        </is>
      </c>
      <c r="O216" t="inlineStr">
        <is>
          <t>eng</t>
        </is>
      </c>
      <c r="P216" t="inlineStr">
        <is>
          <t>nbu</t>
        </is>
      </c>
      <c r="R216" t="inlineStr">
        <is>
          <t xml:space="preserve">TX </t>
        </is>
      </c>
      <c r="S216" t="n">
        <v>6</v>
      </c>
      <c r="T216" t="n">
        <v>6</v>
      </c>
      <c r="U216" t="inlineStr">
        <is>
          <t>2000-10-27</t>
        </is>
      </c>
      <c r="V216" t="inlineStr">
        <is>
          <t>2000-10-27</t>
        </is>
      </c>
      <c r="W216" t="inlineStr">
        <is>
          <t>2000-02-23</t>
        </is>
      </c>
      <c r="X216" t="inlineStr">
        <is>
          <t>2000-02-23</t>
        </is>
      </c>
      <c r="Y216" t="n">
        <v>8</v>
      </c>
      <c r="Z216" t="n">
        <v>8</v>
      </c>
      <c r="AA216" t="n">
        <v>8</v>
      </c>
      <c r="AB216" t="n">
        <v>6</v>
      </c>
      <c r="AC216" t="n">
        <v>6</v>
      </c>
      <c r="AD216" t="n">
        <v>1</v>
      </c>
      <c r="AE216" t="n">
        <v>1</v>
      </c>
      <c r="AF216" t="n">
        <v>0</v>
      </c>
      <c r="AG216" t="n">
        <v>0</v>
      </c>
      <c r="AH216" t="n">
        <v>0</v>
      </c>
      <c r="AI216" t="n">
        <v>0</v>
      </c>
      <c r="AJ216" t="n">
        <v>0</v>
      </c>
      <c r="AK216" t="n">
        <v>0</v>
      </c>
      <c r="AL216" t="n">
        <v>1</v>
      </c>
      <c r="AM216" t="n">
        <v>1</v>
      </c>
      <c r="AN216" t="n">
        <v>0</v>
      </c>
      <c r="AO216" t="n">
        <v>0</v>
      </c>
      <c r="AP216" t="inlineStr">
        <is>
          <t>No</t>
        </is>
      </c>
      <c r="AQ216" t="inlineStr">
        <is>
          <t>No</t>
        </is>
      </c>
      <c r="AS216">
        <f>HYPERLINK("https://creighton-primo.hosted.exlibrisgroup.com/primo-explore/search?tab=default_tab&amp;search_scope=EVERYTHING&amp;vid=01CRU&amp;lang=en_US&amp;offset=0&amp;query=any,contains,991003052859702656","Catalog Record")</f>
        <v/>
      </c>
      <c r="AT216">
        <f>HYPERLINK("http://www.worldcat.org/oclc/43374633","WorldCat Record")</f>
        <v/>
      </c>
      <c r="AU216" t="inlineStr">
        <is>
          <t>45015389:eng</t>
        </is>
      </c>
      <c r="AV216" t="inlineStr">
        <is>
          <t>43374633</t>
        </is>
      </c>
      <c r="AW216" t="inlineStr">
        <is>
          <t>991003052859702656</t>
        </is>
      </c>
      <c r="AX216" t="inlineStr">
        <is>
          <t>991003052859702656</t>
        </is>
      </c>
      <c r="AY216" t="inlineStr">
        <is>
          <t>2255672130002656</t>
        </is>
      </c>
      <c r="AZ216" t="inlineStr">
        <is>
          <t>BOOK</t>
        </is>
      </c>
      <c r="BC216" t="inlineStr">
        <is>
          <t>32285003663282</t>
        </is>
      </c>
      <c r="BD216" t="inlineStr">
        <is>
          <t>893498898</t>
        </is>
      </c>
    </row>
    <row r="217">
      <c r="A217" t="inlineStr">
        <is>
          <t>No</t>
        </is>
      </c>
      <c r="B217" t="inlineStr">
        <is>
          <t>TX715 .N43 1988</t>
        </is>
      </c>
      <c r="C217" t="inlineStr">
        <is>
          <t>0                      TX 0715000N  43          1988</t>
        </is>
      </c>
      <c r="D217" t="inlineStr">
        <is>
          <t>NEBRASKAland magazine country cookbook.</t>
        </is>
      </c>
      <c r="F217" t="inlineStr">
        <is>
          <t>No</t>
        </is>
      </c>
      <c r="G217" t="inlineStr">
        <is>
          <t>1</t>
        </is>
      </c>
      <c r="H217" t="inlineStr">
        <is>
          <t>No</t>
        </is>
      </c>
      <c r="I217" t="inlineStr">
        <is>
          <t>No</t>
        </is>
      </c>
      <c r="J217" t="inlineStr">
        <is>
          <t>0</t>
        </is>
      </c>
      <c r="L217" t="inlineStr">
        <is>
          <t>Lincoln, NE : Nebraska Game and Parks Commission, 1988.</t>
        </is>
      </c>
      <c r="M217" t="inlineStr">
        <is>
          <t>1988</t>
        </is>
      </c>
      <c r="O217" t="inlineStr">
        <is>
          <t>eng</t>
        </is>
      </c>
      <c r="P217" t="inlineStr">
        <is>
          <t>nbu</t>
        </is>
      </c>
      <c r="R217" t="inlineStr">
        <is>
          <t xml:space="preserve">TX </t>
        </is>
      </c>
      <c r="S217" t="n">
        <v>6</v>
      </c>
      <c r="T217" t="n">
        <v>6</v>
      </c>
      <c r="U217" t="inlineStr">
        <is>
          <t>1999-07-29</t>
        </is>
      </c>
      <c r="V217" t="inlineStr">
        <is>
          <t>1999-07-29</t>
        </is>
      </c>
      <c r="W217" t="inlineStr">
        <is>
          <t>1992-08-18</t>
        </is>
      </c>
      <c r="X217" t="inlineStr">
        <is>
          <t>1992-08-18</t>
        </is>
      </c>
      <c r="Y217" t="n">
        <v>13</v>
      </c>
      <c r="Z217" t="n">
        <v>13</v>
      </c>
      <c r="AA217" t="n">
        <v>13</v>
      </c>
      <c r="AB217" t="n">
        <v>11</v>
      </c>
      <c r="AC217" t="n">
        <v>11</v>
      </c>
      <c r="AD217" t="n">
        <v>4</v>
      </c>
      <c r="AE217" t="n">
        <v>4</v>
      </c>
      <c r="AF217" t="n">
        <v>0</v>
      </c>
      <c r="AG217" t="n">
        <v>0</v>
      </c>
      <c r="AH217" t="n">
        <v>0</v>
      </c>
      <c r="AI217" t="n">
        <v>0</v>
      </c>
      <c r="AJ217" t="n">
        <v>0</v>
      </c>
      <c r="AK217" t="n">
        <v>0</v>
      </c>
      <c r="AL217" t="n">
        <v>4</v>
      </c>
      <c r="AM217" t="n">
        <v>4</v>
      </c>
      <c r="AN217" t="n">
        <v>0</v>
      </c>
      <c r="AO217" t="n">
        <v>0</v>
      </c>
      <c r="AP217" t="inlineStr">
        <is>
          <t>No</t>
        </is>
      </c>
      <c r="AQ217" t="inlineStr">
        <is>
          <t>No</t>
        </is>
      </c>
      <c r="AS217">
        <f>HYPERLINK("https://creighton-primo.hosted.exlibrisgroup.com/primo-explore/search?tab=default_tab&amp;search_scope=EVERYTHING&amp;vid=01CRU&amp;lang=en_US&amp;offset=0&amp;query=any,contains,991001220979702656","Catalog Record")</f>
        <v/>
      </c>
      <c r="AT217">
        <f>HYPERLINK("http://www.worldcat.org/oclc/17464198","WorldCat Record")</f>
        <v/>
      </c>
      <c r="AU217" t="inlineStr">
        <is>
          <t>15613649:eng</t>
        </is>
      </c>
      <c r="AV217" t="inlineStr">
        <is>
          <t>17464198</t>
        </is>
      </c>
      <c r="AW217" t="inlineStr">
        <is>
          <t>991001220979702656</t>
        </is>
      </c>
      <c r="AX217" t="inlineStr">
        <is>
          <t>991001220979702656</t>
        </is>
      </c>
      <c r="AY217" t="inlineStr">
        <is>
          <t>2269385380002656</t>
        </is>
      </c>
      <c r="AZ217" t="inlineStr">
        <is>
          <t>BOOK</t>
        </is>
      </c>
      <c r="BC217" t="inlineStr">
        <is>
          <t>32285001077055</t>
        </is>
      </c>
      <c r="BD217" t="inlineStr">
        <is>
          <t>893808999</t>
        </is>
      </c>
    </row>
    <row r="218">
      <c r="A218" t="inlineStr">
        <is>
          <t>No</t>
        </is>
      </c>
      <c r="B218" t="inlineStr">
        <is>
          <t>TX715 .O77 1989</t>
        </is>
      </c>
      <c r="C218" t="inlineStr">
        <is>
          <t>0                      TX 0715000O  77          1989</t>
        </is>
      </c>
      <c r="D218" t="inlineStr">
        <is>
          <t>First gentleman's cookbook / compilation and commentary by William D. "Bill" Orr, First Gentleman, State of Nebraska. Project coordinator/editor Pamela Holloway-Eiche.</t>
        </is>
      </c>
      <c r="F218" t="inlineStr">
        <is>
          <t>No</t>
        </is>
      </c>
      <c r="G218" t="inlineStr">
        <is>
          <t>1</t>
        </is>
      </c>
      <c r="H218" t="inlineStr">
        <is>
          <t>No</t>
        </is>
      </c>
      <c r="I218" t="inlineStr">
        <is>
          <t>No</t>
        </is>
      </c>
      <c r="J218" t="inlineStr">
        <is>
          <t>0</t>
        </is>
      </c>
      <c r="K218" t="inlineStr">
        <is>
          <t>Orr, William Dayton, 1935-</t>
        </is>
      </c>
      <c r="L218" t="inlineStr">
        <is>
          <t>Lincoln, Neb. : Jacob North Printing Co., 1989.</t>
        </is>
      </c>
      <c r="M218" t="inlineStr">
        <is>
          <t>1989</t>
        </is>
      </c>
      <c r="N218" t="inlineStr">
        <is>
          <t>1st ed.</t>
        </is>
      </c>
      <c r="O218" t="inlineStr">
        <is>
          <t>eng</t>
        </is>
      </c>
      <c r="P218" t="inlineStr">
        <is>
          <t>nbu</t>
        </is>
      </c>
      <c r="R218" t="inlineStr">
        <is>
          <t xml:space="preserve">TX </t>
        </is>
      </c>
      <c r="S218" t="n">
        <v>5</v>
      </c>
      <c r="T218" t="n">
        <v>5</v>
      </c>
      <c r="U218" t="inlineStr">
        <is>
          <t>1996-07-23</t>
        </is>
      </c>
      <c r="V218" t="inlineStr">
        <is>
          <t>1996-07-23</t>
        </is>
      </c>
      <c r="W218" t="inlineStr">
        <is>
          <t>1991-10-31</t>
        </is>
      </c>
      <c r="X218" t="inlineStr">
        <is>
          <t>1991-10-31</t>
        </is>
      </c>
      <c r="Y218" t="n">
        <v>23</v>
      </c>
      <c r="Z218" t="n">
        <v>23</v>
      </c>
      <c r="AA218" t="n">
        <v>23</v>
      </c>
      <c r="AB218" t="n">
        <v>16</v>
      </c>
      <c r="AC218" t="n">
        <v>16</v>
      </c>
      <c r="AD218" t="n">
        <v>3</v>
      </c>
      <c r="AE218" t="n">
        <v>3</v>
      </c>
      <c r="AF218" t="n">
        <v>0</v>
      </c>
      <c r="AG218" t="n">
        <v>0</v>
      </c>
      <c r="AH218" t="n">
        <v>0</v>
      </c>
      <c r="AI218" t="n">
        <v>0</v>
      </c>
      <c r="AJ218" t="n">
        <v>0</v>
      </c>
      <c r="AK218" t="n">
        <v>0</v>
      </c>
      <c r="AL218" t="n">
        <v>3</v>
      </c>
      <c r="AM218" t="n">
        <v>3</v>
      </c>
      <c r="AN218" t="n">
        <v>0</v>
      </c>
      <c r="AO218" t="n">
        <v>0</v>
      </c>
      <c r="AP218" t="inlineStr">
        <is>
          <t>No</t>
        </is>
      </c>
      <c r="AQ218" t="inlineStr">
        <is>
          <t>No</t>
        </is>
      </c>
      <c r="AS218">
        <f>HYPERLINK("https://creighton-primo.hosted.exlibrisgroup.com/primo-explore/search?tab=default_tab&amp;search_scope=EVERYTHING&amp;vid=01CRU&amp;lang=en_US&amp;offset=0&amp;query=any,contains,991001452329702656","Catalog Record")</f>
        <v/>
      </c>
      <c r="AT218">
        <f>HYPERLINK("http://www.worldcat.org/oclc/19337968","WorldCat Record")</f>
        <v/>
      </c>
      <c r="AU218" t="inlineStr">
        <is>
          <t>21653840:eng</t>
        </is>
      </c>
      <c r="AV218" t="inlineStr">
        <is>
          <t>19337968</t>
        </is>
      </c>
      <c r="AW218" t="inlineStr">
        <is>
          <t>991001452329702656</t>
        </is>
      </c>
      <c r="AX218" t="inlineStr">
        <is>
          <t>991001452329702656</t>
        </is>
      </c>
      <c r="AY218" t="inlineStr">
        <is>
          <t>2267704200002656</t>
        </is>
      </c>
      <c r="AZ218" t="inlineStr">
        <is>
          <t>BOOK</t>
        </is>
      </c>
      <c r="BC218" t="inlineStr">
        <is>
          <t>32285000803691</t>
        </is>
      </c>
      <c r="BD218" t="inlineStr">
        <is>
          <t>893803622</t>
        </is>
      </c>
    </row>
    <row r="219">
      <c r="A219" t="inlineStr">
        <is>
          <t>No</t>
        </is>
      </c>
      <c r="B219" t="inlineStr">
        <is>
          <t>TX715 .P127 1938</t>
        </is>
      </c>
      <c r="C219" t="inlineStr">
        <is>
          <t>0                      TX 0715000P  127         1938</t>
        </is>
      </c>
      <c r="D219" t="inlineStr">
        <is>
          <t>Early California hospitality : the cookery customs of Spanish California, with authentic recipes and menus of the period / by Ana Bégué de Packman.</t>
        </is>
      </c>
      <c r="F219" t="inlineStr">
        <is>
          <t>No</t>
        </is>
      </c>
      <c r="G219" t="inlineStr">
        <is>
          <t>1</t>
        </is>
      </c>
      <c r="H219" t="inlineStr">
        <is>
          <t>No</t>
        </is>
      </c>
      <c r="I219" t="inlineStr">
        <is>
          <t>No</t>
        </is>
      </c>
      <c r="J219" t="inlineStr">
        <is>
          <t>0</t>
        </is>
      </c>
      <c r="K219" t="inlineStr">
        <is>
          <t>Packman, Ana Bégué.</t>
        </is>
      </c>
      <c r="L219" t="inlineStr">
        <is>
          <t>Glendale, CA. : The Arthur H. Clark company, 1938.</t>
        </is>
      </c>
      <c r="M219" t="inlineStr">
        <is>
          <t>1938</t>
        </is>
      </c>
      <c r="O219" t="inlineStr">
        <is>
          <t>eng</t>
        </is>
      </c>
      <c r="P219" t="inlineStr">
        <is>
          <t>cau</t>
        </is>
      </c>
      <c r="R219" t="inlineStr">
        <is>
          <t xml:space="preserve">TX </t>
        </is>
      </c>
      <c r="S219" t="n">
        <v>1</v>
      </c>
      <c r="T219" t="n">
        <v>1</v>
      </c>
      <c r="U219" t="inlineStr">
        <is>
          <t>2001-06-18</t>
        </is>
      </c>
      <c r="V219" t="inlineStr">
        <is>
          <t>2001-06-18</t>
        </is>
      </c>
      <c r="W219" t="inlineStr">
        <is>
          <t>1993-09-14</t>
        </is>
      </c>
      <c r="X219" t="inlineStr">
        <is>
          <t>1993-09-14</t>
        </is>
      </c>
      <c r="Y219" t="n">
        <v>98</v>
      </c>
      <c r="Z219" t="n">
        <v>96</v>
      </c>
      <c r="AA219" t="n">
        <v>142</v>
      </c>
      <c r="AB219" t="n">
        <v>2</v>
      </c>
      <c r="AC219" t="n">
        <v>2</v>
      </c>
      <c r="AD219" t="n">
        <v>5</v>
      </c>
      <c r="AE219" t="n">
        <v>5</v>
      </c>
      <c r="AF219" t="n">
        <v>2</v>
      </c>
      <c r="AG219" t="n">
        <v>2</v>
      </c>
      <c r="AH219" t="n">
        <v>0</v>
      </c>
      <c r="AI219" t="n">
        <v>0</v>
      </c>
      <c r="AJ219" t="n">
        <v>3</v>
      </c>
      <c r="AK219" t="n">
        <v>3</v>
      </c>
      <c r="AL219" t="n">
        <v>1</v>
      </c>
      <c r="AM219" t="n">
        <v>1</v>
      </c>
      <c r="AN219" t="n">
        <v>0</v>
      </c>
      <c r="AO219" t="n">
        <v>0</v>
      </c>
      <c r="AP219" t="inlineStr">
        <is>
          <t>No</t>
        </is>
      </c>
      <c r="AQ219" t="inlineStr">
        <is>
          <t>No</t>
        </is>
      </c>
      <c r="AS219">
        <f>HYPERLINK("https://creighton-primo.hosted.exlibrisgroup.com/primo-explore/search?tab=default_tab&amp;search_scope=EVERYTHING&amp;vid=01CRU&amp;lang=en_US&amp;offset=0&amp;query=any,contains,991004288579702656","Catalog Record")</f>
        <v/>
      </c>
      <c r="AT219">
        <f>HYPERLINK("http://www.worldcat.org/oclc/2933904","WorldCat Record")</f>
        <v/>
      </c>
      <c r="AU219" t="inlineStr">
        <is>
          <t>6804226:eng</t>
        </is>
      </c>
      <c r="AV219" t="inlineStr">
        <is>
          <t>2933904</t>
        </is>
      </c>
      <c r="AW219" t="inlineStr">
        <is>
          <t>991004288579702656</t>
        </is>
      </c>
      <c r="AX219" t="inlineStr">
        <is>
          <t>991004288579702656</t>
        </is>
      </c>
      <c r="AY219" t="inlineStr">
        <is>
          <t>2268069220002656</t>
        </is>
      </c>
      <c r="AZ219" t="inlineStr">
        <is>
          <t>BOOK</t>
        </is>
      </c>
      <c r="BC219" t="inlineStr">
        <is>
          <t>32285001758829</t>
        </is>
      </c>
      <c r="BD219" t="inlineStr">
        <is>
          <t>893901054</t>
        </is>
      </c>
    </row>
    <row r="220">
      <c r="A220" t="inlineStr">
        <is>
          <t>No</t>
        </is>
      </c>
      <c r="B220" t="inlineStr">
        <is>
          <t>TX715 .W237</t>
        </is>
      </c>
      <c r="C220" t="inlineStr">
        <is>
          <t>0                      TX 0715000W  237</t>
        </is>
      </c>
      <c r="D220" t="inlineStr">
        <is>
          <t>American cooking : Southern style / by Eugene Walter and the editors of Time-Life Books. Studio photos. by Mark Kauffman.</t>
        </is>
      </c>
      <c r="F220" t="inlineStr">
        <is>
          <t>No</t>
        </is>
      </c>
      <c r="G220" t="inlineStr">
        <is>
          <t>1</t>
        </is>
      </c>
      <c r="H220" t="inlineStr">
        <is>
          <t>No</t>
        </is>
      </c>
      <c r="I220" t="inlineStr">
        <is>
          <t>No</t>
        </is>
      </c>
      <c r="J220" t="inlineStr">
        <is>
          <t>0</t>
        </is>
      </c>
      <c r="K220" t="inlineStr">
        <is>
          <t>Walter, Eugene, 1921-1998.</t>
        </is>
      </c>
      <c r="L220" t="inlineStr">
        <is>
          <t>New York : Time-Life Books, [1971]</t>
        </is>
      </c>
      <c r="M220" t="inlineStr">
        <is>
          <t>1971</t>
        </is>
      </c>
      <c r="O220" t="inlineStr">
        <is>
          <t>eng</t>
        </is>
      </c>
      <c r="P220" t="inlineStr">
        <is>
          <t>nyu</t>
        </is>
      </c>
      <c r="Q220" t="inlineStr">
        <is>
          <t>Foods of the world</t>
        </is>
      </c>
      <c r="R220" t="inlineStr">
        <is>
          <t xml:space="preserve">TX </t>
        </is>
      </c>
      <c r="S220" t="n">
        <v>7</v>
      </c>
      <c r="T220" t="n">
        <v>7</v>
      </c>
      <c r="U220" t="inlineStr">
        <is>
          <t>2010-11-04</t>
        </is>
      </c>
      <c r="V220" t="inlineStr">
        <is>
          <t>2010-11-04</t>
        </is>
      </c>
      <c r="W220" t="inlineStr">
        <is>
          <t>1992-04-09</t>
        </is>
      </c>
      <c r="X220" t="inlineStr">
        <is>
          <t>1992-04-09</t>
        </is>
      </c>
      <c r="Y220" t="n">
        <v>703</v>
      </c>
      <c r="Z220" t="n">
        <v>687</v>
      </c>
      <c r="AA220" t="n">
        <v>783</v>
      </c>
      <c r="AB220" t="n">
        <v>7</v>
      </c>
      <c r="AC220" t="n">
        <v>7</v>
      </c>
      <c r="AD220" t="n">
        <v>11</v>
      </c>
      <c r="AE220" t="n">
        <v>14</v>
      </c>
      <c r="AF220" t="n">
        <v>4</v>
      </c>
      <c r="AG220" t="n">
        <v>5</v>
      </c>
      <c r="AH220" t="n">
        <v>0</v>
      </c>
      <c r="AI220" t="n">
        <v>1</v>
      </c>
      <c r="AJ220" t="n">
        <v>6</v>
      </c>
      <c r="AK220" t="n">
        <v>7</v>
      </c>
      <c r="AL220" t="n">
        <v>3</v>
      </c>
      <c r="AM220" t="n">
        <v>3</v>
      </c>
      <c r="AN220" t="n">
        <v>0</v>
      </c>
      <c r="AO220" t="n">
        <v>0</v>
      </c>
      <c r="AP220" t="inlineStr">
        <is>
          <t>No</t>
        </is>
      </c>
      <c r="AQ220" t="inlineStr">
        <is>
          <t>Yes</t>
        </is>
      </c>
      <c r="AR220">
        <f>HYPERLINK("http://catalog.hathitrust.org/Record/009429092","HathiTrust Record")</f>
        <v/>
      </c>
      <c r="AS220">
        <f>HYPERLINK("https://creighton-primo.hosted.exlibrisgroup.com/primo-explore/search?tab=default_tab&amp;search_scope=EVERYTHING&amp;vid=01CRU&amp;lang=en_US&amp;offset=0&amp;query=any,contains,991000741809702656","Catalog Record")</f>
        <v/>
      </c>
      <c r="AT220">
        <f>HYPERLINK("http://www.worldcat.org/oclc/129474","WorldCat Record")</f>
        <v/>
      </c>
      <c r="AU220" t="inlineStr">
        <is>
          <t>3943293127:eng</t>
        </is>
      </c>
      <c r="AV220" t="inlineStr">
        <is>
          <t>129474</t>
        </is>
      </c>
      <c r="AW220" t="inlineStr">
        <is>
          <t>991000741809702656</t>
        </is>
      </c>
      <c r="AX220" t="inlineStr">
        <is>
          <t>991000741809702656</t>
        </is>
      </c>
      <c r="AY220" t="inlineStr">
        <is>
          <t>2266646090002656</t>
        </is>
      </c>
      <c r="AZ220" t="inlineStr">
        <is>
          <t>BOOK</t>
        </is>
      </c>
      <c r="BC220" t="inlineStr">
        <is>
          <t>32285001056695</t>
        </is>
      </c>
      <c r="BD220" t="inlineStr">
        <is>
          <t>893413638</t>
        </is>
      </c>
    </row>
    <row r="221">
      <c r="A221" t="inlineStr">
        <is>
          <t>No</t>
        </is>
      </c>
      <c r="B221" t="inlineStr">
        <is>
          <t>TX716.A1 W6</t>
        </is>
      </c>
      <c r="C221" t="inlineStr">
        <is>
          <t>0                      TX 0716000A  1                  W  6</t>
        </is>
      </c>
      <c r="D221" t="inlineStr">
        <is>
          <t>The cooking of the Caribbean Islands, by Linda Wolfe and the editors of Time-Life Books. Photographed by Richard Meek.</t>
        </is>
      </c>
      <c r="F221" t="inlineStr">
        <is>
          <t>No</t>
        </is>
      </c>
      <c r="G221" t="inlineStr">
        <is>
          <t>1</t>
        </is>
      </c>
      <c r="H221" t="inlineStr">
        <is>
          <t>No</t>
        </is>
      </c>
      <c r="I221" t="inlineStr">
        <is>
          <t>No</t>
        </is>
      </c>
      <c r="J221" t="inlineStr">
        <is>
          <t>0</t>
        </is>
      </c>
      <c r="K221" t="inlineStr">
        <is>
          <t>Wolfe, Linda, 1935-</t>
        </is>
      </c>
      <c r="L221" t="inlineStr">
        <is>
          <t>New York, Time-Life Books [1970]</t>
        </is>
      </c>
      <c r="M221" t="inlineStr">
        <is>
          <t>1970</t>
        </is>
      </c>
      <c r="O221" t="inlineStr">
        <is>
          <t>eng</t>
        </is>
      </c>
      <c r="P221" t="inlineStr">
        <is>
          <t>nyu</t>
        </is>
      </c>
      <c r="Q221" t="inlineStr">
        <is>
          <t>Foods of the world</t>
        </is>
      </c>
      <c r="R221" t="inlineStr">
        <is>
          <t xml:space="preserve">TX </t>
        </is>
      </c>
      <c r="S221" t="n">
        <v>2</v>
      </c>
      <c r="T221" t="n">
        <v>2</v>
      </c>
      <c r="U221" t="inlineStr">
        <is>
          <t>2002-11-24</t>
        </is>
      </c>
      <c r="V221" t="inlineStr">
        <is>
          <t>2002-11-24</t>
        </is>
      </c>
      <c r="W221" t="inlineStr">
        <is>
          <t>1997-08-29</t>
        </is>
      </c>
      <c r="X221" t="inlineStr">
        <is>
          <t>1997-08-29</t>
        </is>
      </c>
      <c r="Y221" t="n">
        <v>857</v>
      </c>
      <c r="Z221" t="n">
        <v>812</v>
      </c>
      <c r="AA221" t="n">
        <v>962</v>
      </c>
      <c r="AB221" t="n">
        <v>10</v>
      </c>
      <c r="AC221" t="n">
        <v>10</v>
      </c>
      <c r="AD221" t="n">
        <v>13</v>
      </c>
      <c r="AE221" t="n">
        <v>14</v>
      </c>
      <c r="AF221" t="n">
        <v>5</v>
      </c>
      <c r="AG221" t="n">
        <v>5</v>
      </c>
      <c r="AH221" t="n">
        <v>0</v>
      </c>
      <c r="AI221" t="n">
        <v>0</v>
      </c>
      <c r="AJ221" t="n">
        <v>3</v>
      </c>
      <c r="AK221" t="n">
        <v>4</v>
      </c>
      <c r="AL221" t="n">
        <v>5</v>
      </c>
      <c r="AM221" t="n">
        <v>5</v>
      </c>
      <c r="AN221" t="n">
        <v>0</v>
      </c>
      <c r="AO221" t="n">
        <v>0</v>
      </c>
      <c r="AP221" t="inlineStr">
        <is>
          <t>No</t>
        </is>
      </c>
      <c r="AQ221" t="inlineStr">
        <is>
          <t>Yes</t>
        </is>
      </c>
      <c r="AR221">
        <f>HYPERLINK("http://catalog.hathitrust.org/Record/007476703","HathiTrust Record")</f>
        <v/>
      </c>
      <c r="AS221">
        <f>HYPERLINK("https://creighton-primo.hosted.exlibrisgroup.com/primo-explore/search?tab=default_tab&amp;search_scope=EVERYTHING&amp;vid=01CRU&amp;lang=en_US&amp;offset=0&amp;query=any,contains,991000371719702656","Catalog Record")</f>
        <v/>
      </c>
      <c r="AT221">
        <f>HYPERLINK("http://www.worldcat.org/oclc/71446","WorldCat Record")</f>
        <v/>
      </c>
      <c r="AU221" t="inlineStr">
        <is>
          <t>447736:eng</t>
        </is>
      </c>
      <c r="AV221" t="inlineStr">
        <is>
          <t>71446</t>
        </is>
      </c>
      <c r="AW221" t="inlineStr">
        <is>
          <t>991000371719702656</t>
        </is>
      </c>
      <c r="AX221" t="inlineStr">
        <is>
          <t>991000371719702656</t>
        </is>
      </c>
      <c r="AY221" t="inlineStr">
        <is>
          <t>2270862150002656</t>
        </is>
      </c>
      <c r="AZ221" t="inlineStr">
        <is>
          <t>BOOK</t>
        </is>
      </c>
      <c r="BC221" t="inlineStr">
        <is>
          <t>32285003120804</t>
        </is>
      </c>
      <c r="BD221" t="inlineStr">
        <is>
          <t>893496152</t>
        </is>
      </c>
    </row>
    <row r="222">
      <c r="A222" t="inlineStr">
        <is>
          <t>No</t>
        </is>
      </c>
      <c r="B222" t="inlineStr">
        <is>
          <t>TX717.5 .A76 1986</t>
        </is>
      </c>
      <c r="C222" t="inlineStr">
        <is>
          <t>0                      TX 0717500A  76          1986</t>
        </is>
      </c>
      <c r="D222" t="inlineStr">
        <is>
          <t>The Joyce of cooking : food &amp; drink from James Joyce's Dublin / Alison Armstrong ; foreword by Anthony Burgess.</t>
        </is>
      </c>
      <c r="F222" t="inlineStr">
        <is>
          <t>No</t>
        </is>
      </c>
      <c r="G222" t="inlineStr">
        <is>
          <t>1</t>
        </is>
      </c>
      <c r="H222" t="inlineStr">
        <is>
          <t>No</t>
        </is>
      </c>
      <c r="I222" t="inlineStr">
        <is>
          <t>No</t>
        </is>
      </c>
      <c r="J222" t="inlineStr">
        <is>
          <t>0</t>
        </is>
      </c>
      <c r="K222" t="inlineStr">
        <is>
          <t>Armstrong, Alison, 1943-</t>
        </is>
      </c>
      <c r="L222" t="inlineStr">
        <is>
          <t>Barrytown, NY : Station Hill Press, c1986.</t>
        </is>
      </c>
      <c r="M222" t="inlineStr">
        <is>
          <t>1986</t>
        </is>
      </c>
      <c r="O222" t="inlineStr">
        <is>
          <t>eng</t>
        </is>
      </c>
      <c r="P222" t="inlineStr">
        <is>
          <t>nyu</t>
        </is>
      </c>
      <c r="R222" t="inlineStr">
        <is>
          <t xml:space="preserve">TX </t>
        </is>
      </c>
      <c r="S222" t="n">
        <v>7</v>
      </c>
      <c r="T222" t="n">
        <v>7</v>
      </c>
      <c r="U222" t="inlineStr">
        <is>
          <t>1994-10-30</t>
        </is>
      </c>
      <c r="V222" t="inlineStr">
        <is>
          <t>1994-10-30</t>
        </is>
      </c>
      <c r="W222" t="inlineStr">
        <is>
          <t>1992-04-08</t>
        </is>
      </c>
      <c r="X222" t="inlineStr">
        <is>
          <t>1992-04-08</t>
        </is>
      </c>
      <c r="Y222" t="n">
        <v>159</v>
      </c>
      <c r="Z222" t="n">
        <v>144</v>
      </c>
      <c r="AA222" t="n">
        <v>144</v>
      </c>
      <c r="AB222" t="n">
        <v>1</v>
      </c>
      <c r="AC222" t="n">
        <v>1</v>
      </c>
      <c r="AD222" t="n">
        <v>3</v>
      </c>
      <c r="AE222" t="n">
        <v>3</v>
      </c>
      <c r="AF222" t="n">
        <v>0</v>
      </c>
      <c r="AG222" t="n">
        <v>0</v>
      </c>
      <c r="AH222" t="n">
        <v>1</v>
      </c>
      <c r="AI222" t="n">
        <v>1</v>
      </c>
      <c r="AJ222" t="n">
        <v>3</v>
      </c>
      <c r="AK222" t="n">
        <v>3</v>
      </c>
      <c r="AL222" t="n">
        <v>0</v>
      </c>
      <c r="AM222" t="n">
        <v>0</v>
      </c>
      <c r="AN222" t="n">
        <v>0</v>
      </c>
      <c r="AO222" t="n">
        <v>0</v>
      </c>
      <c r="AP222" t="inlineStr">
        <is>
          <t>No</t>
        </is>
      </c>
      <c r="AQ222" t="inlineStr">
        <is>
          <t>No</t>
        </is>
      </c>
      <c r="AS222">
        <f>HYPERLINK("https://creighton-primo.hosted.exlibrisgroup.com/primo-explore/search?tab=default_tab&amp;search_scope=EVERYTHING&amp;vid=01CRU&amp;lang=en_US&amp;offset=0&amp;query=any,contains,991000659319702656","Catalog Record")</f>
        <v/>
      </c>
      <c r="AT222">
        <f>HYPERLINK("http://www.worldcat.org/oclc/12236085","WorldCat Record")</f>
        <v/>
      </c>
      <c r="AU222" t="inlineStr">
        <is>
          <t>2035997:eng</t>
        </is>
      </c>
      <c r="AV222" t="inlineStr">
        <is>
          <t>12236085</t>
        </is>
      </c>
      <c r="AW222" t="inlineStr">
        <is>
          <t>991000659319702656</t>
        </is>
      </c>
      <c r="AX222" t="inlineStr">
        <is>
          <t>991000659319702656</t>
        </is>
      </c>
      <c r="AY222" t="inlineStr">
        <is>
          <t>2260985450002656</t>
        </is>
      </c>
      <c r="AZ222" t="inlineStr">
        <is>
          <t>BOOK</t>
        </is>
      </c>
      <c r="BB222" t="inlineStr">
        <is>
          <t>9780930794859</t>
        </is>
      </c>
      <c r="BC222" t="inlineStr">
        <is>
          <t>32285001056687</t>
        </is>
      </c>
      <c r="BD222" t="inlineStr">
        <is>
          <t>893231305</t>
        </is>
      </c>
    </row>
    <row r="223">
      <c r="A223" t="inlineStr">
        <is>
          <t>No</t>
        </is>
      </c>
      <c r="B223" t="inlineStr">
        <is>
          <t>TX717.5 .C64 1973</t>
        </is>
      </c>
      <c r="C223" t="inlineStr">
        <is>
          <t>0                      TX 0717500C  64          1973</t>
        </is>
      </c>
      <c r="D223" t="inlineStr">
        <is>
          <t>Of soda bread and Guinness : an Irish cookbook, and a picture of Ireland as seen through its people, its places, its traditions, and its cooking lore / Rosalind Cole.</t>
        </is>
      </c>
      <c r="F223" t="inlineStr">
        <is>
          <t>No</t>
        </is>
      </c>
      <c r="G223" t="inlineStr">
        <is>
          <t>1</t>
        </is>
      </c>
      <c r="H223" t="inlineStr">
        <is>
          <t>No</t>
        </is>
      </c>
      <c r="I223" t="inlineStr">
        <is>
          <t>No</t>
        </is>
      </c>
      <c r="J223" t="inlineStr">
        <is>
          <t>0</t>
        </is>
      </c>
      <c r="K223" t="inlineStr">
        <is>
          <t>Cole, Rosalind.</t>
        </is>
      </c>
      <c r="L223" t="inlineStr">
        <is>
          <t>Indianapolis : Bobbs-Merrill, [1973]</t>
        </is>
      </c>
      <c r="M223" t="inlineStr">
        <is>
          <t>1973</t>
        </is>
      </c>
      <c r="O223" t="inlineStr">
        <is>
          <t>eng</t>
        </is>
      </c>
      <c r="P223" t="inlineStr">
        <is>
          <t>inu</t>
        </is>
      </c>
      <c r="R223" t="inlineStr">
        <is>
          <t xml:space="preserve">TX </t>
        </is>
      </c>
      <c r="S223" t="n">
        <v>4</v>
      </c>
      <c r="T223" t="n">
        <v>4</v>
      </c>
      <c r="U223" t="inlineStr">
        <is>
          <t>2006-10-31</t>
        </is>
      </c>
      <c r="V223" t="inlineStr">
        <is>
          <t>2006-10-31</t>
        </is>
      </c>
      <c r="W223" t="inlineStr">
        <is>
          <t>1993-08-03</t>
        </is>
      </c>
      <c r="X223" t="inlineStr">
        <is>
          <t>1993-08-03</t>
        </is>
      </c>
      <c r="Y223" t="n">
        <v>106</v>
      </c>
      <c r="Z223" t="n">
        <v>103</v>
      </c>
      <c r="AA223" t="n">
        <v>104</v>
      </c>
      <c r="AB223" t="n">
        <v>2</v>
      </c>
      <c r="AC223" t="n">
        <v>2</v>
      </c>
      <c r="AD223" t="n">
        <v>1</v>
      </c>
      <c r="AE223" t="n">
        <v>1</v>
      </c>
      <c r="AF223" t="n">
        <v>0</v>
      </c>
      <c r="AG223" t="n">
        <v>0</v>
      </c>
      <c r="AH223" t="n">
        <v>0</v>
      </c>
      <c r="AI223" t="n">
        <v>0</v>
      </c>
      <c r="AJ223" t="n">
        <v>0</v>
      </c>
      <c r="AK223" t="n">
        <v>0</v>
      </c>
      <c r="AL223" t="n">
        <v>1</v>
      </c>
      <c r="AM223" t="n">
        <v>1</v>
      </c>
      <c r="AN223" t="n">
        <v>0</v>
      </c>
      <c r="AO223" t="n">
        <v>0</v>
      </c>
      <c r="AP223" t="inlineStr">
        <is>
          <t>No</t>
        </is>
      </c>
      <c r="AQ223" t="inlineStr">
        <is>
          <t>No</t>
        </is>
      </c>
      <c r="AS223">
        <f>HYPERLINK("https://creighton-primo.hosted.exlibrisgroup.com/primo-explore/search?tab=default_tab&amp;search_scope=EVERYTHING&amp;vid=01CRU&amp;lang=en_US&amp;offset=0&amp;query=any,contains,991003065769702656","Catalog Record")</f>
        <v/>
      </c>
      <c r="AT223">
        <f>HYPERLINK("http://www.worldcat.org/oclc/622071","WorldCat Record")</f>
        <v/>
      </c>
      <c r="AU223" t="inlineStr">
        <is>
          <t>1693499:eng</t>
        </is>
      </c>
      <c r="AV223" t="inlineStr">
        <is>
          <t>622071</t>
        </is>
      </c>
      <c r="AW223" t="inlineStr">
        <is>
          <t>991003065769702656</t>
        </is>
      </c>
      <c r="AX223" t="inlineStr">
        <is>
          <t>991003065769702656</t>
        </is>
      </c>
      <c r="AY223" t="inlineStr">
        <is>
          <t>2257149380002656</t>
        </is>
      </c>
      <c r="AZ223" t="inlineStr">
        <is>
          <t>BOOK</t>
        </is>
      </c>
      <c r="BC223" t="inlineStr">
        <is>
          <t>32285001749307</t>
        </is>
      </c>
      <c r="BD223" t="inlineStr">
        <is>
          <t>893416000</t>
        </is>
      </c>
    </row>
    <row r="224">
      <c r="A224" t="inlineStr">
        <is>
          <t>No</t>
        </is>
      </c>
      <c r="B224" t="inlineStr">
        <is>
          <t>TX719 .C4 1988</t>
        </is>
      </c>
      <c r="C224" t="inlineStr">
        <is>
          <t>0                      TX 0719000C  4           1988</t>
        </is>
      </c>
      <c r="D224" t="inlineStr">
        <is>
          <t>Clémentine in the kitchen / by Samuel Chamberlain (Phineas Beck) ; illustrated with drypoints and drawings by the author.</t>
        </is>
      </c>
      <c r="F224" t="inlineStr">
        <is>
          <t>No</t>
        </is>
      </c>
      <c r="G224" t="inlineStr">
        <is>
          <t>1</t>
        </is>
      </c>
      <c r="H224" t="inlineStr">
        <is>
          <t>No</t>
        </is>
      </c>
      <c r="I224" t="inlineStr">
        <is>
          <t>No</t>
        </is>
      </c>
      <c r="J224" t="inlineStr">
        <is>
          <t>0</t>
        </is>
      </c>
      <c r="K224" t="inlineStr">
        <is>
          <t>Chamberlain, Samuel, 1895-1975.</t>
        </is>
      </c>
      <c r="L224" t="inlineStr">
        <is>
          <t>Boston : D.R. Godine, 1988.</t>
        </is>
      </c>
      <c r="M224" t="inlineStr">
        <is>
          <t>1988</t>
        </is>
      </c>
      <c r="N224" t="inlineStr">
        <is>
          <t>A new ed. / revised by Narcisse Chamberlain (Diane Beck), 3rd ed.</t>
        </is>
      </c>
      <c r="O224" t="inlineStr">
        <is>
          <t>eng</t>
        </is>
      </c>
      <c r="P224" t="inlineStr">
        <is>
          <t>mau</t>
        </is>
      </c>
      <c r="R224" t="inlineStr">
        <is>
          <t xml:space="preserve">TX </t>
        </is>
      </c>
      <c r="S224" t="n">
        <v>3</v>
      </c>
      <c r="T224" t="n">
        <v>3</v>
      </c>
      <c r="U224" t="inlineStr">
        <is>
          <t>2009-11-08</t>
        </is>
      </c>
      <c r="V224" t="inlineStr">
        <is>
          <t>2009-11-08</t>
        </is>
      </c>
      <c r="W224" t="inlineStr">
        <is>
          <t>1993-08-03</t>
        </is>
      </c>
      <c r="X224" t="inlineStr">
        <is>
          <t>1993-08-03</t>
        </is>
      </c>
      <c r="Y224" t="n">
        <v>68</v>
      </c>
      <c r="Z224" t="n">
        <v>68</v>
      </c>
      <c r="AA224" t="n">
        <v>412</v>
      </c>
      <c r="AB224" t="n">
        <v>1</v>
      </c>
      <c r="AC224" t="n">
        <v>3</v>
      </c>
      <c r="AD224" t="n">
        <v>0</v>
      </c>
      <c r="AE224" t="n">
        <v>9</v>
      </c>
      <c r="AF224" t="n">
        <v>0</v>
      </c>
      <c r="AG224" t="n">
        <v>3</v>
      </c>
      <c r="AH224" t="n">
        <v>0</v>
      </c>
      <c r="AI224" t="n">
        <v>3</v>
      </c>
      <c r="AJ224" t="n">
        <v>0</v>
      </c>
      <c r="AK224" t="n">
        <v>2</v>
      </c>
      <c r="AL224" t="n">
        <v>0</v>
      </c>
      <c r="AM224" t="n">
        <v>2</v>
      </c>
      <c r="AN224" t="n">
        <v>0</v>
      </c>
      <c r="AO224" t="n">
        <v>0</v>
      </c>
      <c r="AP224" t="inlineStr">
        <is>
          <t>No</t>
        </is>
      </c>
      <c r="AQ224" t="inlineStr">
        <is>
          <t>No</t>
        </is>
      </c>
      <c r="AS224">
        <f>HYPERLINK("https://creighton-primo.hosted.exlibrisgroup.com/primo-explore/search?tab=default_tab&amp;search_scope=EVERYTHING&amp;vid=01CRU&amp;lang=en_US&amp;offset=0&amp;query=any,contains,991001048199702656","Catalog Record")</f>
        <v/>
      </c>
      <c r="AT224">
        <f>HYPERLINK("http://www.worldcat.org/oclc/15630563","WorldCat Record")</f>
        <v/>
      </c>
      <c r="AU224" t="inlineStr">
        <is>
          <t>117699590:eng</t>
        </is>
      </c>
      <c r="AV224" t="inlineStr">
        <is>
          <t>15630563</t>
        </is>
      </c>
      <c r="AW224" t="inlineStr">
        <is>
          <t>991001048199702656</t>
        </is>
      </c>
      <c r="AX224" t="inlineStr">
        <is>
          <t>991001048199702656</t>
        </is>
      </c>
      <c r="AY224" t="inlineStr">
        <is>
          <t>2260911050002656</t>
        </is>
      </c>
      <c r="AZ224" t="inlineStr">
        <is>
          <t>BOOK</t>
        </is>
      </c>
      <c r="BB224" t="inlineStr">
        <is>
          <t>9780879237028</t>
        </is>
      </c>
      <c r="BC224" t="inlineStr">
        <is>
          <t>32285001749315</t>
        </is>
      </c>
      <c r="BD224" t="inlineStr">
        <is>
          <t>893496775</t>
        </is>
      </c>
    </row>
    <row r="225">
      <c r="A225" t="inlineStr">
        <is>
          <t>No</t>
        </is>
      </c>
      <c r="B225" t="inlineStr">
        <is>
          <t>TX719 .C45 1975</t>
        </is>
      </c>
      <c r="C225" t="inlineStr">
        <is>
          <t>0                      TX 0719000C  45          1975</t>
        </is>
      </c>
      <c r="D225" t="inlineStr">
        <is>
          <t>From Julia Child's kitchen / by Julia Child ; photos. and drawings by Paul Child ; additional technical photos. by Albie Walton.</t>
        </is>
      </c>
      <c r="F225" t="inlineStr">
        <is>
          <t>No</t>
        </is>
      </c>
      <c r="G225" t="inlineStr">
        <is>
          <t>1</t>
        </is>
      </c>
      <c r="H225" t="inlineStr">
        <is>
          <t>No</t>
        </is>
      </c>
      <c r="I225" t="inlineStr">
        <is>
          <t>No</t>
        </is>
      </c>
      <c r="J225" t="inlineStr">
        <is>
          <t>0</t>
        </is>
      </c>
      <c r="K225" t="inlineStr">
        <is>
          <t>Child, Julia.</t>
        </is>
      </c>
      <c r="L225" t="inlineStr">
        <is>
          <t>New York : Knopf, 1975.</t>
        </is>
      </c>
      <c r="M225" t="inlineStr">
        <is>
          <t>1975</t>
        </is>
      </c>
      <c r="N225" t="inlineStr">
        <is>
          <t>1st ed.</t>
        </is>
      </c>
      <c r="O225" t="inlineStr">
        <is>
          <t>eng</t>
        </is>
      </c>
      <c r="P225" t="inlineStr">
        <is>
          <t>nyu</t>
        </is>
      </c>
      <c r="R225" t="inlineStr">
        <is>
          <t xml:space="preserve">TX </t>
        </is>
      </c>
      <c r="S225" t="n">
        <v>16</v>
      </c>
      <c r="T225" t="n">
        <v>16</v>
      </c>
      <c r="U225" t="inlineStr">
        <is>
          <t>2007-12-13</t>
        </is>
      </c>
      <c r="V225" t="inlineStr">
        <is>
          <t>2007-12-13</t>
        </is>
      </c>
      <c r="W225" t="inlineStr">
        <is>
          <t>1992-02-20</t>
        </is>
      </c>
      <c r="X225" t="inlineStr">
        <is>
          <t>1992-02-20</t>
        </is>
      </c>
      <c r="Y225" t="n">
        <v>930</v>
      </c>
      <c r="Z225" t="n">
        <v>901</v>
      </c>
      <c r="AA225" t="n">
        <v>1024</v>
      </c>
      <c r="AB225" t="n">
        <v>5</v>
      </c>
      <c r="AC225" t="n">
        <v>5</v>
      </c>
      <c r="AD225" t="n">
        <v>2</v>
      </c>
      <c r="AE225" t="n">
        <v>3</v>
      </c>
      <c r="AF225" t="n">
        <v>0</v>
      </c>
      <c r="AG225" t="n">
        <v>0</v>
      </c>
      <c r="AH225" t="n">
        <v>0</v>
      </c>
      <c r="AI225" t="n">
        <v>0</v>
      </c>
      <c r="AJ225" t="n">
        <v>1</v>
      </c>
      <c r="AK225" t="n">
        <v>2</v>
      </c>
      <c r="AL225" t="n">
        <v>1</v>
      </c>
      <c r="AM225" t="n">
        <v>1</v>
      </c>
      <c r="AN225" t="n">
        <v>0</v>
      </c>
      <c r="AO225" t="n">
        <v>0</v>
      </c>
      <c r="AP225" t="inlineStr">
        <is>
          <t>No</t>
        </is>
      </c>
      <c r="AQ225" t="inlineStr">
        <is>
          <t>No</t>
        </is>
      </c>
      <c r="AS225">
        <f>HYPERLINK("https://creighton-primo.hosted.exlibrisgroup.com/primo-explore/search?tab=default_tab&amp;search_scope=EVERYTHING&amp;vid=01CRU&amp;lang=en_US&amp;offset=0&amp;query=any,contains,991003720979702656","Catalog Record")</f>
        <v/>
      </c>
      <c r="AT225">
        <f>HYPERLINK("http://www.worldcat.org/oclc/1366101","WorldCat Record")</f>
        <v/>
      </c>
      <c r="AU225" t="inlineStr">
        <is>
          <t>462282:eng</t>
        </is>
      </c>
      <c r="AV225" t="inlineStr">
        <is>
          <t>1366101</t>
        </is>
      </c>
      <c r="AW225" t="inlineStr">
        <is>
          <t>991003720979702656</t>
        </is>
      </c>
      <c r="AX225" t="inlineStr">
        <is>
          <t>991003720979702656</t>
        </is>
      </c>
      <c r="AY225" t="inlineStr">
        <is>
          <t>2255245650002656</t>
        </is>
      </c>
      <c r="AZ225" t="inlineStr">
        <is>
          <t>BOOK</t>
        </is>
      </c>
      <c r="BB225" t="inlineStr">
        <is>
          <t>9780394480718</t>
        </is>
      </c>
      <c r="BC225" t="inlineStr">
        <is>
          <t>32285000948140</t>
        </is>
      </c>
      <c r="BD225" t="inlineStr">
        <is>
          <t>893705544</t>
        </is>
      </c>
    </row>
    <row r="226">
      <c r="A226" t="inlineStr">
        <is>
          <t>No</t>
        </is>
      </c>
      <c r="B226" t="inlineStr">
        <is>
          <t>TX719 .F65 1974</t>
        </is>
      </c>
      <c r="C226" t="inlineStr">
        <is>
          <t>0                      TX 0719000F  65          1974</t>
        </is>
      </c>
      <c r="D226" t="inlineStr">
        <is>
          <t>A taste of Paris; traditional food. Period photos. specially prepared by George Morrison.</t>
        </is>
      </c>
      <c r="F226" t="inlineStr">
        <is>
          <t>No</t>
        </is>
      </c>
      <c r="G226" t="inlineStr">
        <is>
          <t>1</t>
        </is>
      </c>
      <c r="H226" t="inlineStr">
        <is>
          <t>No</t>
        </is>
      </c>
      <c r="I226" t="inlineStr">
        <is>
          <t>No</t>
        </is>
      </c>
      <c r="J226" t="inlineStr">
        <is>
          <t>0</t>
        </is>
      </c>
      <c r="K226" t="inlineStr">
        <is>
          <t>FitzGibbon, Theodora.</t>
        </is>
      </c>
      <c r="L226" t="inlineStr">
        <is>
          <t>Boston, Houghton Mifflin, 1974.</t>
        </is>
      </c>
      <c r="M226" t="inlineStr">
        <is>
          <t>1974</t>
        </is>
      </c>
      <c r="N226" t="inlineStr">
        <is>
          <t>[1st American ed.]</t>
        </is>
      </c>
      <c r="O226" t="inlineStr">
        <is>
          <t>eng</t>
        </is>
      </c>
      <c r="P226" t="inlineStr">
        <is>
          <t>mau</t>
        </is>
      </c>
      <c r="R226" t="inlineStr">
        <is>
          <t xml:space="preserve">TX </t>
        </is>
      </c>
      <c r="S226" t="n">
        <v>8</v>
      </c>
      <c r="T226" t="n">
        <v>8</v>
      </c>
      <c r="U226" t="inlineStr">
        <is>
          <t>2009-10-05</t>
        </is>
      </c>
      <c r="V226" t="inlineStr">
        <is>
          <t>2009-10-05</t>
        </is>
      </c>
      <c r="W226" t="inlineStr">
        <is>
          <t>1997-08-29</t>
        </is>
      </c>
      <c r="X226" t="inlineStr">
        <is>
          <t>1997-08-29</t>
        </is>
      </c>
      <c r="Y226" t="n">
        <v>106</v>
      </c>
      <c r="Z226" t="n">
        <v>104</v>
      </c>
      <c r="AA226" t="n">
        <v>111</v>
      </c>
      <c r="AB226" t="n">
        <v>1</v>
      </c>
      <c r="AC226" t="n">
        <v>1</v>
      </c>
      <c r="AD226" t="n">
        <v>0</v>
      </c>
      <c r="AE226" t="n">
        <v>0</v>
      </c>
      <c r="AF226" t="n">
        <v>0</v>
      </c>
      <c r="AG226" t="n">
        <v>0</v>
      </c>
      <c r="AH226" t="n">
        <v>0</v>
      </c>
      <c r="AI226" t="n">
        <v>0</v>
      </c>
      <c r="AJ226" t="n">
        <v>0</v>
      </c>
      <c r="AK226" t="n">
        <v>0</v>
      </c>
      <c r="AL226" t="n">
        <v>0</v>
      </c>
      <c r="AM226" t="n">
        <v>0</v>
      </c>
      <c r="AN226" t="n">
        <v>0</v>
      </c>
      <c r="AO226" t="n">
        <v>0</v>
      </c>
      <c r="AP226" t="inlineStr">
        <is>
          <t>No</t>
        </is>
      </c>
      <c r="AQ226" t="inlineStr">
        <is>
          <t>Yes</t>
        </is>
      </c>
      <c r="AR226">
        <f>HYPERLINK("http://catalog.hathitrust.org/Record/010746714","HathiTrust Record")</f>
        <v/>
      </c>
      <c r="AS226">
        <f>HYPERLINK("https://creighton-primo.hosted.exlibrisgroup.com/primo-explore/search?tab=default_tab&amp;search_scope=EVERYTHING&amp;vid=01CRU&amp;lang=en_US&amp;offset=0&amp;query=any,contains,991003362239702656","Catalog Record")</f>
        <v/>
      </c>
      <c r="AT226">
        <f>HYPERLINK("http://www.worldcat.org/oclc/898029","WorldCat Record")</f>
        <v/>
      </c>
      <c r="AU226" t="inlineStr">
        <is>
          <t>3769319237:eng</t>
        </is>
      </c>
      <c r="AV226" t="inlineStr">
        <is>
          <t>898029</t>
        </is>
      </c>
      <c r="AW226" t="inlineStr">
        <is>
          <t>991003362239702656</t>
        </is>
      </c>
      <c r="AX226" t="inlineStr">
        <is>
          <t>991003362239702656</t>
        </is>
      </c>
      <c r="AY226" t="inlineStr">
        <is>
          <t>2259423060002656</t>
        </is>
      </c>
      <c r="AZ226" t="inlineStr">
        <is>
          <t>BOOK</t>
        </is>
      </c>
      <c r="BB226" t="inlineStr">
        <is>
          <t>9780395193938</t>
        </is>
      </c>
      <c r="BC226" t="inlineStr">
        <is>
          <t>32285003120812</t>
        </is>
      </c>
      <c r="BD226" t="inlineStr">
        <is>
          <t>893887413</t>
        </is>
      </c>
    </row>
    <row r="227">
      <c r="A227" t="inlineStr">
        <is>
          <t>No</t>
        </is>
      </c>
      <c r="B227" t="inlineStr">
        <is>
          <t>TX721 .H46 1976</t>
        </is>
      </c>
      <c r="C227" t="inlineStr">
        <is>
          <t>0                      TX 0721000H  46          1976</t>
        </is>
      </c>
      <c r="D227" t="inlineStr">
        <is>
          <t>The art of Pennsylvania Dutch cooking / Edna Eby Heller ; illustrated by Ray Cruz.</t>
        </is>
      </c>
      <c r="F227" t="inlineStr">
        <is>
          <t>No</t>
        </is>
      </c>
      <c r="G227" t="inlineStr">
        <is>
          <t>1</t>
        </is>
      </c>
      <c r="H227" t="inlineStr">
        <is>
          <t>No</t>
        </is>
      </c>
      <c r="I227" t="inlineStr">
        <is>
          <t>No</t>
        </is>
      </c>
      <c r="J227" t="inlineStr">
        <is>
          <t>0</t>
        </is>
      </c>
      <c r="K227" t="inlineStr">
        <is>
          <t>Heller, Edna Eby.</t>
        </is>
      </c>
      <c r="L227" t="inlineStr">
        <is>
          <t>New York : Galahad Books, [1976?] c1968.</t>
        </is>
      </c>
      <c r="M227" t="inlineStr">
        <is>
          <t>1976</t>
        </is>
      </c>
      <c r="O227" t="inlineStr">
        <is>
          <t>eng</t>
        </is>
      </c>
      <c r="P227" t="inlineStr">
        <is>
          <t>nyu</t>
        </is>
      </c>
      <c r="R227" t="inlineStr">
        <is>
          <t xml:space="preserve">TX </t>
        </is>
      </c>
      <c r="S227" t="n">
        <v>1</v>
      </c>
      <c r="T227" t="n">
        <v>1</v>
      </c>
      <c r="U227" t="inlineStr">
        <is>
          <t>2005-03-30</t>
        </is>
      </c>
      <c r="V227" t="inlineStr">
        <is>
          <t>2005-03-30</t>
        </is>
      </c>
      <c r="W227" t="inlineStr">
        <is>
          <t>1992-08-18</t>
        </is>
      </c>
      <c r="X227" t="inlineStr">
        <is>
          <t>1992-08-18</t>
        </is>
      </c>
      <c r="Y227" t="n">
        <v>67</v>
      </c>
      <c r="Z227" t="n">
        <v>66</v>
      </c>
      <c r="AA227" t="n">
        <v>271</v>
      </c>
      <c r="AB227" t="n">
        <v>1</v>
      </c>
      <c r="AC227" t="n">
        <v>2</v>
      </c>
      <c r="AD227" t="n">
        <v>0</v>
      </c>
      <c r="AE227" t="n">
        <v>2</v>
      </c>
      <c r="AF227" t="n">
        <v>0</v>
      </c>
      <c r="AG227" t="n">
        <v>0</v>
      </c>
      <c r="AH227" t="n">
        <v>0</v>
      </c>
      <c r="AI227" t="n">
        <v>1</v>
      </c>
      <c r="AJ227" t="n">
        <v>0</v>
      </c>
      <c r="AK227" t="n">
        <v>0</v>
      </c>
      <c r="AL227" t="n">
        <v>0</v>
      </c>
      <c r="AM227" t="n">
        <v>1</v>
      </c>
      <c r="AN227" t="n">
        <v>0</v>
      </c>
      <c r="AO227" t="n">
        <v>0</v>
      </c>
      <c r="AP227" t="inlineStr">
        <is>
          <t>No</t>
        </is>
      </c>
      <c r="AQ227" t="inlineStr">
        <is>
          <t>No</t>
        </is>
      </c>
      <c r="AS227">
        <f>HYPERLINK("https://creighton-primo.hosted.exlibrisgroup.com/primo-explore/search?tab=default_tab&amp;search_scope=EVERYTHING&amp;vid=01CRU&amp;lang=en_US&amp;offset=0&amp;query=any,contains,991004321589702656","Catalog Record")</f>
        <v/>
      </c>
      <c r="AT227">
        <f>HYPERLINK("http://www.worldcat.org/oclc/3018181","WorldCat Record")</f>
        <v/>
      </c>
      <c r="AU227" t="inlineStr">
        <is>
          <t>2144240:eng</t>
        </is>
      </c>
      <c r="AV227" t="inlineStr">
        <is>
          <t>3018181</t>
        </is>
      </c>
      <c r="AW227" t="inlineStr">
        <is>
          <t>991004321589702656</t>
        </is>
      </c>
      <c r="AX227" t="inlineStr">
        <is>
          <t>991004321589702656</t>
        </is>
      </c>
      <c r="AY227" t="inlineStr">
        <is>
          <t>2271992580002656</t>
        </is>
      </c>
      <c r="AZ227" t="inlineStr">
        <is>
          <t>BOOK</t>
        </is>
      </c>
      <c r="BB227" t="inlineStr">
        <is>
          <t>9780883653555</t>
        </is>
      </c>
      <c r="BC227" t="inlineStr">
        <is>
          <t>32285001077063</t>
        </is>
      </c>
      <c r="BD227" t="inlineStr">
        <is>
          <t>893525945</t>
        </is>
      </c>
    </row>
    <row r="228">
      <c r="A228" t="inlineStr">
        <is>
          <t>No</t>
        </is>
      </c>
      <c r="B228" t="inlineStr">
        <is>
          <t>TX723 .R55</t>
        </is>
      </c>
      <c r="C228" t="inlineStr">
        <is>
          <t>0                      TX 0723000R  55</t>
        </is>
      </c>
      <c r="D228" t="inlineStr">
        <is>
          <t>The cooking of Italy, by Waverley Root and the editors of Time-Life Books. Photographed by Fred Lyon.</t>
        </is>
      </c>
      <c r="F228" t="inlineStr">
        <is>
          <t>No</t>
        </is>
      </c>
      <c r="G228" t="inlineStr">
        <is>
          <t>1</t>
        </is>
      </c>
      <c r="H228" t="inlineStr">
        <is>
          <t>Yes</t>
        </is>
      </c>
      <c r="I228" t="inlineStr">
        <is>
          <t>No</t>
        </is>
      </c>
      <c r="J228" t="inlineStr">
        <is>
          <t>0</t>
        </is>
      </c>
      <c r="K228" t="inlineStr">
        <is>
          <t>Root, Waverley, 1903-1982.</t>
        </is>
      </c>
      <c r="L228" t="inlineStr">
        <is>
          <t>New York, Time-Life Books [1968]</t>
        </is>
      </c>
      <c r="M228" t="inlineStr">
        <is>
          <t>1968</t>
        </is>
      </c>
      <c r="O228" t="inlineStr">
        <is>
          <t>eng</t>
        </is>
      </c>
      <c r="P228" t="inlineStr">
        <is>
          <t>nyu</t>
        </is>
      </c>
      <c r="Q228" t="inlineStr">
        <is>
          <t>Foods of the world</t>
        </is>
      </c>
      <c r="R228" t="inlineStr">
        <is>
          <t xml:space="preserve">TX </t>
        </is>
      </c>
      <c r="S228" t="n">
        <v>16</v>
      </c>
      <c r="T228" t="n">
        <v>28</v>
      </c>
      <c r="U228" t="inlineStr">
        <is>
          <t>2008-11-21</t>
        </is>
      </c>
      <c r="V228" t="inlineStr">
        <is>
          <t>2008-11-21</t>
        </is>
      </c>
      <c r="W228" t="inlineStr">
        <is>
          <t>1993-10-27</t>
        </is>
      </c>
      <c r="X228" t="inlineStr">
        <is>
          <t>1993-10-27</t>
        </is>
      </c>
      <c r="Y228" t="n">
        <v>1018</v>
      </c>
      <c r="Z228" t="n">
        <v>956</v>
      </c>
      <c r="AA228" t="n">
        <v>1138</v>
      </c>
      <c r="AB228" t="n">
        <v>10</v>
      </c>
      <c r="AC228" t="n">
        <v>10</v>
      </c>
      <c r="AD228" t="n">
        <v>10</v>
      </c>
      <c r="AE228" t="n">
        <v>10</v>
      </c>
      <c r="AF228" t="n">
        <v>4</v>
      </c>
      <c r="AG228" t="n">
        <v>4</v>
      </c>
      <c r="AH228" t="n">
        <v>0</v>
      </c>
      <c r="AI228" t="n">
        <v>0</v>
      </c>
      <c r="AJ228" t="n">
        <v>2</v>
      </c>
      <c r="AK228" t="n">
        <v>2</v>
      </c>
      <c r="AL228" t="n">
        <v>4</v>
      </c>
      <c r="AM228" t="n">
        <v>4</v>
      </c>
      <c r="AN228" t="n">
        <v>0</v>
      </c>
      <c r="AO228" t="n">
        <v>0</v>
      </c>
      <c r="AP228" t="inlineStr">
        <is>
          <t>No</t>
        </is>
      </c>
      <c r="AQ228" t="inlineStr">
        <is>
          <t>No</t>
        </is>
      </c>
      <c r="AS228">
        <f>HYPERLINK("https://creighton-primo.hosted.exlibrisgroup.com/primo-explore/search?tab=default_tab&amp;search_scope=EVERYTHING&amp;vid=01CRU&amp;lang=en_US&amp;offset=0&amp;query=any,contains,991001560609702656","Catalog Record")</f>
        <v/>
      </c>
      <c r="AT228">
        <f>HYPERLINK("http://www.worldcat.org/oclc/232680","WorldCat Record")</f>
        <v/>
      </c>
      <c r="AU228" t="inlineStr">
        <is>
          <t>4815699559:eng</t>
        </is>
      </c>
      <c r="AV228" t="inlineStr">
        <is>
          <t>232680</t>
        </is>
      </c>
      <c r="AW228" t="inlineStr">
        <is>
          <t>991001560609702656</t>
        </is>
      </c>
      <c r="AX228" t="inlineStr">
        <is>
          <t>991001560609702656</t>
        </is>
      </c>
      <c r="AY228" t="inlineStr">
        <is>
          <t>2258554730002656</t>
        </is>
      </c>
      <c r="AZ228" t="inlineStr">
        <is>
          <t>BOOK</t>
        </is>
      </c>
      <c r="BC228" t="inlineStr">
        <is>
          <t>32285001777266</t>
        </is>
      </c>
      <c r="BD228" t="inlineStr">
        <is>
          <t>893897865</t>
        </is>
      </c>
    </row>
    <row r="229">
      <c r="A229" t="inlineStr">
        <is>
          <t>No</t>
        </is>
      </c>
      <c r="B229" t="inlineStr">
        <is>
          <t>TX723 .R55</t>
        </is>
      </c>
      <c r="C229" t="inlineStr">
        <is>
          <t>0                      TX 0723000R  55</t>
        </is>
      </c>
      <c r="D229" t="inlineStr">
        <is>
          <t>The cooking of Italy, by Waverley Root and the editors of Time-Life Books. Photographed by Fred Lyon.</t>
        </is>
      </c>
      <c r="F229" t="inlineStr">
        <is>
          <t>No</t>
        </is>
      </c>
      <c r="G229" t="inlineStr">
        <is>
          <t>1</t>
        </is>
      </c>
      <c r="H229" t="inlineStr">
        <is>
          <t>Yes</t>
        </is>
      </c>
      <c r="I229" t="inlineStr">
        <is>
          <t>No</t>
        </is>
      </c>
      <c r="J229" t="inlineStr">
        <is>
          <t>0</t>
        </is>
      </c>
      <c r="K229" t="inlineStr">
        <is>
          <t>Root, Waverley, 1903-1982.</t>
        </is>
      </c>
      <c r="L229" t="inlineStr">
        <is>
          <t>New York, Time-Life Books [1968]</t>
        </is>
      </c>
      <c r="M229" t="inlineStr">
        <is>
          <t>1968</t>
        </is>
      </c>
      <c r="O229" t="inlineStr">
        <is>
          <t>eng</t>
        </is>
      </c>
      <c r="P229" t="inlineStr">
        <is>
          <t>nyu</t>
        </is>
      </c>
      <c r="Q229" t="inlineStr">
        <is>
          <t>Foods of the world</t>
        </is>
      </c>
      <c r="R229" t="inlineStr">
        <is>
          <t xml:space="preserve">TX </t>
        </is>
      </c>
      <c r="S229" t="n">
        <v>12</v>
      </c>
      <c r="T229" t="n">
        <v>28</v>
      </c>
      <c r="U229" t="inlineStr">
        <is>
          <t>2008-02-27</t>
        </is>
      </c>
      <c r="V229" t="inlineStr">
        <is>
          <t>2008-11-21</t>
        </is>
      </c>
      <c r="W229" t="inlineStr">
        <is>
          <t>1991-12-09</t>
        </is>
      </c>
      <c r="X229" t="inlineStr">
        <is>
          <t>1993-10-27</t>
        </is>
      </c>
      <c r="Y229" t="n">
        <v>1018</v>
      </c>
      <c r="Z229" t="n">
        <v>956</v>
      </c>
      <c r="AA229" t="n">
        <v>1138</v>
      </c>
      <c r="AB229" t="n">
        <v>10</v>
      </c>
      <c r="AC229" t="n">
        <v>10</v>
      </c>
      <c r="AD229" t="n">
        <v>10</v>
      </c>
      <c r="AE229" t="n">
        <v>10</v>
      </c>
      <c r="AF229" t="n">
        <v>4</v>
      </c>
      <c r="AG229" t="n">
        <v>4</v>
      </c>
      <c r="AH229" t="n">
        <v>0</v>
      </c>
      <c r="AI229" t="n">
        <v>0</v>
      </c>
      <c r="AJ229" t="n">
        <v>2</v>
      </c>
      <c r="AK229" t="n">
        <v>2</v>
      </c>
      <c r="AL229" t="n">
        <v>4</v>
      </c>
      <c r="AM229" t="n">
        <v>4</v>
      </c>
      <c r="AN229" t="n">
        <v>0</v>
      </c>
      <c r="AO229" t="n">
        <v>0</v>
      </c>
      <c r="AP229" t="inlineStr">
        <is>
          <t>No</t>
        </is>
      </c>
      <c r="AQ229" t="inlineStr">
        <is>
          <t>No</t>
        </is>
      </c>
      <c r="AS229">
        <f>HYPERLINK("https://creighton-primo.hosted.exlibrisgroup.com/primo-explore/search?tab=default_tab&amp;search_scope=EVERYTHING&amp;vid=01CRU&amp;lang=en_US&amp;offset=0&amp;query=any,contains,991001560609702656","Catalog Record")</f>
        <v/>
      </c>
      <c r="AT229">
        <f>HYPERLINK("http://www.worldcat.org/oclc/232680","WorldCat Record")</f>
        <v/>
      </c>
      <c r="AU229" t="inlineStr">
        <is>
          <t>4815699559:eng</t>
        </is>
      </c>
      <c r="AV229" t="inlineStr">
        <is>
          <t>232680</t>
        </is>
      </c>
      <c r="AW229" t="inlineStr">
        <is>
          <t>991001560609702656</t>
        </is>
      </c>
      <c r="AX229" t="inlineStr">
        <is>
          <t>991001560609702656</t>
        </is>
      </c>
      <c r="AY229" t="inlineStr">
        <is>
          <t>2258554730002656</t>
        </is>
      </c>
      <c r="AZ229" t="inlineStr">
        <is>
          <t>BOOK</t>
        </is>
      </c>
      <c r="BC229" t="inlineStr">
        <is>
          <t>32285000872381</t>
        </is>
      </c>
      <c r="BD229" t="inlineStr">
        <is>
          <t>893897864</t>
        </is>
      </c>
    </row>
    <row r="230">
      <c r="A230" t="inlineStr">
        <is>
          <t>No</t>
        </is>
      </c>
      <c r="B230" t="inlineStr">
        <is>
          <t>TX723.5.C9 C94 1989</t>
        </is>
      </c>
      <c r="C230" t="inlineStr">
        <is>
          <t>0                      TX 0723500C  9                  C  94          1989</t>
        </is>
      </c>
      <c r="D230" t="inlineStr">
        <is>
          <t>Czechoslovak culture : recipes, history and folk arts / compiled by Pat Martin ; edited by John Zug ; photography by Joan Liffring-Zug ... [et al.]</t>
        </is>
      </c>
      <c r="F230" t="inlineStr">
        <is>
          <t>No</t>
        </is>
      </c>
      <c r="G230" t="inlineStr">
        <is>
          <t>1</t>
        </is>
      </c>
      <c r="H230" t="inlineStr">
        <is>
          <t>No</t>
        </is>
      </c>
      <c r="I230" t="inlineStr">
        <is>
          <t>No</t>
        </is>
      </c>
      <c r="J230" t="inlineStr">
        <is>
          <t>0</t>
        </is>
      </c>
      <c r="L230" t="inlineStr">
        <is>
          <t>Iowa City, Iowa : Penfield Press, 1989.</t>
        </is>
      </c>
      <c r="M230" t="inlineStr">
        <is>
          <t>1989</t>
        </is>
      </c>
      <c r="O230" t="inlineStr">
        <is>
          <t>eng</t>
        </is>
      </c>
      <c r="P230" t="inlineStr">
        <is>
          <t xml:space="preserve">xx </t>
        </is>
      </c>
      <c r="R230" t="inlineStr">
        <is>
          <t xml:space="preserve">TX </t>
        </is>
      </c>
      <c r="S230" t="n">
        <v>3</v>
      </c>
      <c r="T230" t="n">
        <v>3</v>
      </c>
      <c r="U230" t="inlineStr">
        <is>
          <t>2010-05-03</t>
        </is>
      </c>
      <c r="V230" t="inlineStr">
        <is>
          <t>2010-05-03</t>
        </is>
      </c>
      <c r="W230" t="inlineStr">
        <is>
          <t>1990-11-26</t>
        </is>
      </c>
      <c r="X230" t="inlineStr">
        <is>
          <t>1990-11-26</t>
        </is>
      </c>
      <c r="Y230" t="n">
        <v>150</v>
      </c>
      <c r="Z230" t="n">
        <v>148</v>
      </c>
      <c r="AA230" t="n">
        <v>148</v>
      </c>
      <c r="AB230" t="n">
        <v>4</v>
      </c>
      <c r="AC230" t="n">
        <v>4</v>
      </c>
      <c r="AD230" t="n">
        <v>0</v>
      </c>
      <c r="AE230" t="n">
        <v>0</v>
      </c>
      <c r="AF230" t="n">
        <v>0</v>
      </c>
      <c r="AG230" t="n">
        <v>0</v>
      </c>
      <c r="AH230" t="n">
        <v>0</v>
      </c>
      <c r="AI230" t="n">
        <v>0</v>
      </c>
      <c r="AJ230" t="n">
        <v>0</v>
      </c>
      <c r="AK230" t="n">
        <v>0</v>
      </c>
      <c r="AL230" t="n">
        <v>0</v>
      </c>
      <c r="AM230" t="n">
        <v>0</v>
      </c>
      <c r="AN230" t="n">
        <v>0</v>
      </c>
      <c r="AO230" t="n">
        <v>0</v>
      </c>
      <c r="AP230" t="inlineStr">
        <is>
          <t>No</t>
        </is>
      </c>
      <c r="AQ230" t="inlineStr">
        <is>
          <t>No</t>
        </is>
      </c>
      <c r="AS230">
        <f>HYPERLINK("https://creighton-primo.hosted.exlibrisgroup.com/primo-explore/search?tab=default_tab&amp;search_scope=EVERYTHING&amp;vid=01CRU&amp;lang=en_US&amp;offset=0&amp;query=any,contains,991001500919702656","Catalog Record")</f>
        <v/>
      </c>
      <c r="AT230">
        <f>HYPERLINK("http://www.worldcat.org/oclc/19793525","WorldCat Record")</f>
        <v/>
      </c>
      <c r="AU230" t="inlineStr">
        <is>
          <t>10194259441:eng</t>
        </is>
      </c>
      <c r="AV230" t="inlineStr">
        <is>
          <t>19793525</t>
        </is>
      </c>
      <c r="AW230" t="inlineStr">
        <is>
          <t>991001500919702656</t>
        </is>
      </c>
      <c r="AX230" t="inlineStr">
        <is>
          <t>991001500919702656</t>
        </is>
      </c>
      <c r="AY230" t="inlineStr">
        <is>
          <t>2258650260002656</t>
        </is>
      </c>
      <c r="AZ230" t="inlineStr">
        <is>
          <t>BOOK</t>
        </is>
      </c>
      <c r="BC230" t="inlineStr">
        <is>
          <t>32285000400928</t>
        </is>
      </c>
      <c r="BD230" t="inlineStr">
        <is>
          <t>893602639</t>
        </is>
      </c>
    </row>
    <row r="231">
      <c r="A231" t="inlineStr">
        <is>
          <t>No</t>
        </is>
      </c>
      <c r="B231" t="inlineStr">
        <is>
          <t>TX723.5.S7 S56 1997</t>
        </is>
      </c>
      <c r="C231" t="inlineStr">
        <is>
          <t>0                      TX 0723500S  7                  S  56          1997</t>
        </is>
      </c>
      <c r="D231" t="inlineStr">
        <is>
          <t>La cocina de Palacio, 1561-1931 / María del Carmen Simón Palmer.</t>
        </is>
      </c>
      <c r="F231" t="inlineStr">
        <is>
          <t>No</t>
        </is>
      </c>
      <c r="G231" t="inlineStr">
        <is>
          <t>1</t>
        </is>
      </c>
      <c r="H231" t="inlineStr">
        <is>
          <t>No</t>
        </is>
      </c>
      <c r="I231" t="inlineStr">
        <is>
          <t>No</t>
        </is>
      </c>
      <c r="J231" t="inlineStr">
        <is>
          <t>0</t>
        </is>
      </c>
      <c r="K231" t="inlineStr">
        <is>
          <t>Simón Palmer, María del Carmen.</t>
        </is>
      </c>
      <c r="L231" t="inlineStr">
        <is>
          <t>Madrid : Editorial Castalia, c1997.</t>
        </is>
      </c>
      <c r="M231" t="inlineStr">
        <is>
          <t>1997</t>
        </is>
      </c>
      <c r="O231" t="inlineStr">
        <is>
          <t>spa</t>
        </is>
      </c>
      <c r="P231" t="inlineStr">
        <is>
          <t xml:space="preserve">sp </t>
        </is>
      </c>
      <c r="R231" t="inlineStr">
        <is>
          <t xml:space="preserve">TX </t>
        </is>
      </c>
      <c r="S231" t="n">
        <v>1</v>
      </c>
      <c r="T231" t="n">
        <v>1</v>
      </c>
      <c r="U231" t="inlineStr">
        <is>
          <t>2010-10-25</t>
        </is>
      </c>
      <c r="V231" t="inlineStr">
        <is>
          <t>2010-10-25</t>
        </is>
      </c>
      <c r="W231" t="inlineStr">
        <is>
          <t>1998-07-23</t>
        </is>
      </c>
      <c r="X231" t="inlineStr">
        <is>
          <t>1998-07-23</t>
        </is>
      </c>
      <c r="Y231" t="n">
        <v>51</v>
      </c>
      <c r="Z231" t="n">
        <v>37</v>
      </c>
      <c r="AA231" t="n">
        <v>38</v>
      </c>
      <c r="AB231" t="n">
        <v>2</v>
      </c>
      <c r="AC231" t="n">
        <v>2</v>
      </c>
      <c r="AD231" t="n">
        <v>3</v>
      </c>
      <c r="AE231" t="n">
        <v>3</v>
      </c>
      <c r="AF231" t="n">
        <v>1</v>
      </c>
      <c r="AG231" t="n">
        <v>1</v>
      </c>
      <c r="AH231" t="n">
        <v>1</v>
      </c>
      <c r="AI231" t="n">
        <v>1</v>
      </c>
      <c r="AJ231" t="n">
        <v>1</v>
      </c>
      <c r="AK231" t="n">
        <v>1</v>
      </c>
      <c r="AL231" t="n">
        <v>1</v>
      </c>
      <c r="AM231" t="n">
        <v>1</v>
      </c>
      <c r="AN231" t="n">
        <v>0</v>
      </c>
      <c r="AO231" t="n">
        <v>0</v>
      </c>
      <c r="AP231" t="inlineStr">
        <is>
          <t>No</t>
        </is>
      </c>
      <c r="AQ231" t="inlineStr">
        <is>
          <t>No</t>
        </is>
      </c>
      <c r="AS231">
        <f>HYPERLINK("https://creighton-primo.hosted.exlibrisgroup.com/primo-explore/search?tab=default_tab&amp;search_scope=EVERYTHING&amp;vid=01CRU&amp;lang=en_US&amp;offset=0&amp;query=any,contains,991002869939702656","Catalog Record")</f>
        <v/>
      </c>
      <c r="AT231">
        <f>HYPERLINK("http://www.worldcat.org/oclc/40452925","WorldCat Record")</f>
        <v/>
      </c>
      <c r="AU231" t="inlineStr">
        <is>
          <t>365164768:spa</t>
        </is>
      </c>
      <c r="AV231" t="inlineStr">
        <is>
          <t>40452925</t>
        </is>
      </c>
      <c r="AW231" t="inlineStr">
        <is>
          <t>991002869939702656</t>
        </is>
      </c>
      <c r="AX231" t="inlineStr">
        <is>
          <t>991002869939702656</t>
        </is>
      </c>
      <c r="AY231" t="inlineStr">
        <is>
          <t>2271682860002656</t>
        </is>
      </c>
      <c r="AZ231" t="inlineStr">
        <is>
          <t>BOOK</t>
        </is>
      </c>
      <c r="BB231" t="inlineStr">
        <is>
          <t>9788470397776</t>
        </is>
      </c>
      <c r="BC231" t="inlineStr">
        <is>
          <t>32285003445490</t>
        </is>
      </c>
      <c r="BD231" t="inlineStr">
        <is>
          <t>893329655</t>
        </is>
      </c>
    </row>
    <row r="232">
      <c r="A232" t="inlineStr">
        <is>
          <t>No</t>
        </is>
      </c>
      <c r="B232" t="inlineStr">
        <is>
          <t>TX724 .B27 1964</t>
        </is>
      </c>
      <c r="C232" t="inlineStr">
        <is>
          <t>0                      TX 0724000B  27          1964</t>
        </is>
      </c>
      <c r="D232" t="inlineStr">
        <is>
          <t>The Israeli cook book / Molly Lyons Bar-David.</t>
        </is>
      </c>
      <c r="F232" t="inlineStr">
        <is>
          <t>No</t>
        </is>
      </c>
      <c r="G232" t="inlineStr">
        <is>
          <t>1</t>
        </is>
      </c>
      <c r="H232" t="inlineStr">
        <is>
          <t>No</t>
        </is>
      </c>
      <c r="I232" t="inlineStr">
        <is>
          <t>No</t>
        </is>
      </c>
      <c r="J232" t="inlineStr">
        <is>
          <t>0</t>
        </is>
      </c>
      <c r="K232" t="inlineStr">
        <is>
          <t>Bar-David, Molly Lyons, 1910-</t>
        </is>
      </c>
      <c r="L232" t="inlineStr">
        <is>
          <t>New York : Crown Publishers, c1964, 1977 printing.</t>
        </is>
      </c>
      <c r="M232" t="inlineStr">
        <is>
          <t>1964</t>
        </is>
      </c>
      <c r="O232" t="inlineStr">
        <is>
          <t>eng</t>
        </is>
      </c>
      <c r="P232" t="inlineStr">
        <is>
          <t>___</t>
        </is>
      </c>
      <c r="Q232" t="inlineStr">
        <is>
          <t>International cookbook series</t>
        </is>
      </c>
      <c r="R232" t="inlineStr">
        <is>
          <t xml:space="preserve">TX </t>
        </is>
      </c>
      <c r="S232" t="n">
        <v>4</v>
      </c>
      <c r="T232" t="n">
        <v>4</v>
      </c>
      <c r="U232" t="inlineStr">
        <is>
          <t>2002-04-14</t>
        </is>
      </c>
      <c r="V232" t="inlineStr">
        <is>
          <t>2002-04-14</t>
        </is>
      </c>
      <c r="W232" t="inlineStr">
        <is>
          <t>1992-03-31</t>
        </is>
      </c>
      <c r="X232" t="inlineStr">
        <is>
          <t>1992-03-31</t>
        </is>
      </c>
      <c r="Y232" t="n">
        <v>134</v>
      </c>
      <c r="Z232" t="n">
        <v>128</v>
      </c>
      <c r="AA232" t="n">
        <v>130</v>
      </c>
      <c r="AB232" t="n">
        <v>1</v>
      </c>
      <c r="AC232" t="n">
        <v>1</v>
      </c>
      <c r="AD232" t="n">
        <v>1</v>
      </c>
      <c r="AE232" t="n">
        <v>1</v>
      </c>
      <c r="AF232" t="n">
        <v>0</v>
      </c>
      <c r="AG232" t="n">
        <v>0</v>
      </c>
      <c r="AH232" t="n">
        <v>0</v>
      </c>
      <c r="AI232" t="n">
        <v>0</v>
      </c>
      <c r="AJ232" t="n">
        <v>1</v>
      </c>
      <c r="AK232" t="n">
        <v>1</v>
      </c>
      <c r="AL232" t="n">
        <v>0</v>
      </c>
      <c r="AM232" t="n">
        <v>0</v>
      </c>
      <c r="AN232" t="n">
        <v>0</v>
      </c>
      <c r="AO232" t="n">
        <v>0</v>
      </c>
      <c r="AP232" t="inlineStr">
        <is>
          <t>No</t>
        </is>
      </c>
      <c r="AQ232" t="inlineStr">
        <is>
          <t>No</t>
        </is>
      </c>
      <c r="AS232">
        <f>HYPERLINK("https://creighton-primo.hosted.exlibrisgroup.com/primo-explore/search?tab=default_tab&amp;search_scope=EVERYTHING&amp;vid=01CRU&amp;lang=en_US&amp;offset=0&amp;query=any,contains,991003755869702656","Catalog Record")</f>
        <v/>
      </c>
      <c r="AT232">
        <f>HYPERLINK("http://www.worldcat.org/oclc/1436285","WorldCat Record")</f>
        <v/>
      </c>
      <c r="AU232" t="inlineStr">
        <is>
          <t>364336379:eng</t>
        </is>
      </c>
      <c r="AV232" t="inlineStr">
        <is>
          <t>1436285</t>
        </is>
      </c>
      <c r="AW232" t="inlineStr">
        <is>
          <t>991003755869702656</t>
        </is>
      </c>
      <c r="AX232" t="inlineStr">
        <is>
          <t>991003755869702656</t>
        </is>
      </c>
      <c r="AY232" t="inlineStr">
        <is>
          <t>2270019320002656</t>
        </is>
      </c>
      <c r="AZ232" t="inlineStr">
        <is>
          <t>BOOK</t>
        </is>
      </c>
      <c r="BC232" t="inlineStr">
        <is>
          <t>32285001030617</t>
        </is>
      </c>
      <c r="BD232" t="inlineStr">
        <is>
          <t>893525192</t>
        </is>
      </c>
    </row>
    <row r="233">
      <c r="A233" t="inlineStr">
        <is>
          <t>No</t>
        </is>
      </c>
      <c r="B233" t="inlineStr">
        <is>
          <t>TX724.5.A1 S7</t>
        </is>
      </c>
      <c r="C233" t="inlineStr">
        <is>
          <t>0                      TX 0724500A  1                  S  7</t>
        </is>
      </c>
      <c r="D233" t="inlineStr">
        <is>
          <t>Pacific and Southeast Asian cooking, by Rafael Steinberg and the editors of Time-Life Books. Photographed by Anthony Blake [and others]</t>
        </is>
      </c>
      <c r="F233" t="inlineStr">
        <is>
          <t>No</t>
        </is>
      </c>
      <c r="G233" t="inlineStr">
        <is>
          <t>1</t>
        </is>
      </c>
      <c r="H233" t="inlineStr">
        <is>
          <t>No</t>
        </is>
      </c>
      <c r="I233" t="inlineStr">
        <is>
          <t>No</t>
        </is>
      </c>
      <c r="J233" t="inlineStr">
        <is>
          <t>0</t>
        </is>
      </c>
      <c r="K233" t="inlineStr">
        <is>
          <t>Steinberg, Rafael, 1927-</t>
        </is>
      </c>
      <c r="L233" t="inlineStr">
        <is>
          <t>New York, Time-Life Books [1970]</t>
        </is>
      </c>
      <c r="M233" t="inlineStr">
        <is>
          <t>1970</t>
        </is>
      </c>
      <c r="O233" t="inlineStr">
        <is>
          <t>eng</t>
        </is>
      </c>
      <c r="P233" t="inlineStr">
        <is>
          <t>nyu</t>
        </is>
      </c>
      <c r="Q233" t="inlineStr">
        <is>
          <t>Foods of the world</t>
        </is>
      </c>
      <c r="R233" t="inlineStr">
        <is>
          <t xml:space="preserve">TX </t>
        </is>
      </c>
      <c r="S233" t="n">
        <v>3</v>
      </c>
      <c r="T233" t="n">
        <v>3</v>
      </c>
      <c r="U233" t="inlineStr">
        <is>
          <t>2010-09-08</t>
        </is>
      </c>
      <c r="V233" t="inlineStr">
        <is>
          <t>2010-09-08</t>
        </is>
      </c>
      <c r="W233" t="inlineStr">
        <is>
          <t>1997-08-29</t>
        </is>
      </c>
      <c r="X233" t="inlineStr">
        <is>
          <t>1997-08-29</t>
        </is>
      </c>
      <c r="Y233" t="n">
        <v>838</v>
      </c>
      <c r="Z233" t="n">
        <v>804</v>
      </c>
      <c r="AA233" t="n">
        <v>956</v>
      </c>
      <c r="AB233" t="n">
        <v>7</v>
      </c>
      <c r="AC233" t="n">
        <v>8</v>
      </c>
      <c r="AD233" t="n">
        <v>6</v>
      </c>
      <c r="AE233" t="n">
        <v>12</v>
      </c>
      <c r="AF233" t="n">
        <v>1</v>
      </c>
      <c r="AG233" t="n">
        <v>4</v>
      </c>
      <c r="AH233" t="n">
        <v>0</v>
      </c>
      <c r="AI233" t="n">
        <v>1</v>
      </c>
      <c r="AJ233" t="n">
        <v>2</v>
      </c>
      <c r="AK233" t="n">
        <v>3</v>
      </c>
      <c r="AL233" t="n">
        <v>3</v>
      </c>
      <c r="AM233" t="n">
        <v>4</v>
      </c>
      <c r="AN233" t="n">
        <v>0</v>
      </c>
      <c r="AO233" t="n">
        <v>0</v>
      </c>
      <c r="AP233" t="inlineStr">
        <is>
          <t>No</t>
        </is>
      </c>
      <c r="AQ233" t="inlineStr">
        <is>
          <t>Yes</t>
        </is>
      </c>
      <c r="AR233">
        <f>HYPERLINK("http://catalog.hathitrust.org/Record/007471721","HathiTrust Record")</f>
        <v/>
      </c>
      <c r="AS233">
        <f>HYPERLINK("https://creighton-primo.hosted.exlibrisgroup.com/primo-explore/search?tab=default_tab&amp;search_scope=EVERYTHING&amp;vid=01CRU&amp;lang=en_US&amp;offset=0&amp;query=any,contains,991000519999702656","Catalog Record")</f>
        <v/>
      </c>
      <c r="AT233">
        <f>HYPERLINK("http://www.worldcat.org/oclc/87633","WorldCat Record")</f>
        <v/>
      </c>
      <c r="AU233" t="inlineStr">
        <is>
          <t>467287:eng</t>
        </is>
      </c>
      <c r="AV233" t="inlineStr">
        <is>
          <t>87633</t>
        </is>
      </c>
      <c r="AW233" t="inlineStr">
        <is>
          <t>991000519999702656</t>
        </is>
      </c>
      <c r="AX233" t="inlineStr">
        <is>
          <t>991000519999702656</t>
        </is>
      </c>
      <c r="AY233" t="inlineStr">
        <is>
          <t>2270833060002656</t>
        </is>
      </c>
      <c r="AZ233" t="inlineStr">
        <is>
          <t>BOOK</t>
        </is>
      </c>
      <c r="BC233" t="inlineStr">
        <is>
          <t>32285003120838</t>
        </is>
      </c>
      <c r="BD233" t="inlineStr">
        <is>
          <t>893339620</t>
        </is>
      </c>
    </row>
    <row r="234">
      <c r="A234" t="inlineStr">
        <is>
          <t>No</t>
        </is>
      </c>
      <c r="B234" t="inlineStr">
        <is>
          <t>TX724.5.C5 H33</t>
        </is>
      </c>
      <c r="C234" t="inlineStr">
        <is>
          <t>0                      TX 0724500C  5                  H  33</t>
        </is>
      </c>
      <c r="D234" t="inlineStr">
        <is>
          <t>The cooking of China, by Emily Hahn and the editors of Time-Life Books. Photographed by Michael Rougier.</t>
        </is>
      </c>
      <c r="F234" t="inlineStr">
        <is>
          <t>No</t>
        </is>
      </c>
      <c r="G234" t="inlineStr">
        <is>
          <t>1</t>
        </is>
      </c>
      <c r="H234" t="inlineStr">
        <is>
          <t>No</t>
        </is>
      </c>
      <c r="I234" t="inlineStr">
        <is>
          <t>No</t>
        </is>
      </c>
      <c r="J234" t="inlineStr">
        <is>
          <t>0</t>
        </is>
      </c>
      <c r="K234" t="inlineStr">
        <is>
          <t>Hahn, Emily, 1905-1997.</t>
        </is>
      </c>
      <c r="L234" t="inlineStr">
        <is>
          <t>New York, Time-Life Books [1968]</t>
        </is>
      </c>
      <c r="M234" t="inlineStr">
        <is>
          <t>1968</t>
        </is>
      </c>
      <c r="O234" t="inlineStr">
        <is>
          <t>eng</t>
        </is>
      </c>
      <c r="P234" t="inlineStr">
        <is>
          <t>nyu</t>
        </is>
      </c>
      <c r="Q234" t="inlineStr">
        <is>
          <t>Foods of the world</t>
        </is>
      </c>
      <c r="R234" t="inlineStr">
        <is>
          <t xml:space="preserve">TX </t>
        </is>
      </c>
      <c r="S234" t="n">
        <v>12</v>
      </c>
      <c r="T234" t="n">
        <v>12</v>
      </c>
      <c r="U234" t="inlineStr">
        <is>
          <t>1998-12-03</t>
        </is>
      </c>
      <c r="V234" t="inlineStr">
        <is>
          <t>1998-12-03</t>
        </is>
      </c>
      <c r="W234" t="inlineStr">
        <is>
          <t>1991-12-10</t>
        </is>
      </c>
      <c r="X234" t="inlineStr">
        <is>
          <t>1991-12-10</t>
        </is>
      </c>
      <c r="Y234" t="n">
        <v>1007</v>
      </c>
      <c r="Z234" t="n">
        <v>963</v>
      </c>
      <c r="AA234" t="n">
        <v>1147</v>
      </c>
      <c r="AB234" t="n">
        <v>10</v>
      </c>
      <c r="AC234" t="n">
        <v>10</v>
      </c>
      <c r="AD234" t="n">
        <v>16</v>
      </c>
      <c r="AE234" t="n">
        <v>18</v>
      </c>
      <c r="AF234" t="n">
        <v>6</v>
      </c>
      <c r="AG234" t="n">
        <v>7</v>
      </c>
      <c r="AH234" t="n">
        <v>0</v>
      </c>
      <c r="AI234" t="n">
        <v>0</v>
      </c>
      <c r="AJ234" t="n">
        <v>7</v>
      </c>
      <c r="AK234" t="n">
        <v>8</v>
      </c>
      <c r="AL234" t="n">
        <v>5</v>
      </c>
      <c r="AM234" t="n">
        <v>5</v>
      </c>
      <c r="AN234" t="n">
        <v>0</v>
      </c>
      <c r="AO234" t="n">
        <v>0</v>
      </c>
      <c r="AP234" t="inlineStr">
        <is>
          <t>No</t>
        </is>
      </c>
      <c r="AQ234" t="inlineStr">
        <is>
          <t>Yes</t>
        </is>
      </c>
      <c r="AR234">
        <f>HYPERLINK("http://catalog.hathitrust.org/Record/009158813","HathiTrust Record")</f>
        <v/>
      </c>
      <c r="AS234">
        <f>HYPERLINK("https://creighton-primo.hosted.exlibrisgroup.com/primo-explore/search?tab=default_tab&amp;search_scope=EVERYTHING&amp;vid=01CRU&amp;lang=en_US&amp;offset=0&amp;query=any,contains,991002809859702656","Catalog Record")</f>
        <v/>
      </c>
      <c r="AT234">
        <f>HYPERLINK("http://www.worldcat.org/oclc/451990","WorldCat Record")</f>
        <v/>
      </c>
      <c r="AU234" t="inlineStr">
        <is>
          <t>149340782:eng</t>
        </is>
      </c>
      <c r="AV234" t="inlineStr">
        <is>
          <t>451990</t>
        </is>
      </c>
      <c r="AW234" t="inlineStr">
        <is>
          <t>991002809859702656</t>
        </is>
      </c>
      <c r="AX234" t="inlineStr">
        <is>
          <t>991002809859702656</t>
        </is>
      </c>
      <c r="AY234" t="inlineStr">
        <is>
          <t>2261126800002656</t>
        </is>
      </c>
      <c r="AZ234" t="inlineStr">
        <is>
          <t>BOOK</t>
        </is>
      </c>
      <c r="BC234" t="inlineStr">
        <is>
          <t>32285000839232</t>
        </is>
      </c>
      <c r="BD234" t="inlineStr">
        <is>
          <t>893809682</t>
        </is>
      </c>
    </row>
    <row r="235">
      <c r="A235" t="inlineStr">
        <is>
          <t>No</t>
        </is>
      </c>
      <c r="B235" t="inlineStr">
        <is>
          <t>TX724.5.I4 R3</t>
        </is>
      </c>
      <c r="C235" t="inlineStr">
        <is>
          <t>0                      TX 0724500I  4                  R  3</t>
        </is>
      </c>
      <c r="D235" t="inlineStr">
        <is>
          <t>The cooking of India / by Santha Rama Rau and the editors of Time-Life books. Photographed by Eliot Elisofon.</t>
        </is>
      </c>
      <c r="F235" t="inlineStr">
        <is>
          <t>No</t>
        </is>
      </c>
      <c r="G235" t="inlineStr">
        <is>
          <t>1</t>
        </is>
      </c>
      <c r="H235" t="inlineStr">
        <is>
          <t>No</t>
        </is>
      </c>
      <c r="I235" t="inlineStr">
        <is>
          <t>No</t>
        </is>
      </c>
      <c r="J235" t="inlineStr">
        <is>
          <t>0</t>
        </is>
      </c>
      <c r="K235" t="inlineStr">
        <is>
          <t>Rama Rau, Santha, 1923-2009.</t>
        </is>
      </c>
      <c r="L235" t="inlineStr">
        <is>
          <t>New York : Time-Life Books, [1969]</t>
        </is>
      </c>
      <c r="M235" t="inlineStr">
        <is>
          <t>1969</t>
        </is>
      </c>
      <c r="O235" t="inlineStr">
        <is>
          <t>eng</t>
        </is>
      </c>
      <c r="P235" t="inlineStr">
        <is>
          <t>nyu</t>
        </is>
      </c>
      <c r="Q235" t="inlineStr">
        <is>
          <t>Foods of the world</t>
        </is>
      </c>
      <c r="R235" t="inlineStr">
        <is>
          <t xml:space="preserve">TX </t>
        </is>
      </c>
      <c r="S235" t="n">
        <v>12</v>
      </c>
      <c r="T235" t="n">
        <v>12</v>
      </c>
      <c r="U235" t="inlineStr">
        <is>
          <t>2009-07-30</t>
        </is>
      </c>
      <c r="V235" t="inlineStr">
        <is>
          <t>2009-07-30</t>
        </is>
      </c>
      <c r="W235" t="inlineStr">
        <is>
          <t>1990-11-12</t>
        </is>
      </c>
      <c r="X235" t="inlineStr">
        <is>
          <t>1990-11-12</t>
        </is>
      </c>
      <c r="Y235" t="n">
        <v>940</v>
      </c>
      <c r="Z235" t="n">
        <v>895</v>
      </c>
      <c r="AA235" t="n">
        <v>1114</v>
      </c>
      <c r="AB235" t="n">
        <v>6</v>
      </c>
      <c r="AC235" t="n">
        <v>8</v>
      </c>
      <c r="AD235" t="n">
        <v>10</v>
      </c>
      <c r="AE235" t="n">
        <v>12</v>
      </c>
      <c r="AF235" t="n">
        <v>5</v>
      </c>
      <c r="AG235" t="n">
        <v>6</v>
      </c>
      <c r="AH235" t="n">
        <v>1</v>
      </c>
      <c r="AI235" t="n">
        <v>1</v>
      </c>
      <c r="AJ235" t="n">
        <v>2</v>
      </c>
      <c r="AK235" t="n">
        <v>2</v>
      </c>
      <c r="AL235" t="n">
        <v>2</v>
      </c>
      <c r="AM235" t="n">
        <v>3</v>
      </c>
      <c r="AN235" t="n">
        <v>0</v>
      </c>
      <c r="AO235" t="n">
        <v>0</v>
      </c>
      <c r="AP235" t="inlineStr">
        <is>
          <t>No</t>
        </is>
      </c>
      <c r="AQ235" t="inlineStr">
        <is>
          <t>Yes</t>
        </is>
      </c>
      <c r="AR235">
        <f>HYPERLINK("http://catalog.hathitrust.org/Record/007551186","HathiTrust Record")</f>
        <v/>
      </c>
      <c r="AS235">
        <f>HYPERLINK("https://creighton-primo.hosted.exlibrisgroup.com/primo-explore/search?tab=default_tab&amp;search_scope=EVERYTHING&amp;vid=01CRU&amp;lang=en_US&amp;offset=0&amp;query=any,contains,991000157069702656","Catalog Record")</f>
        <v/>
      </c>
      <c r="AT235">
        <f>HYPERLINK("http://www.worldcat.org/oclc/60428","WorldCat Record")</f>
        <v/>
      </c>
      <c r="AU235" t="inlineStr">
        <is>
          <t>1441219:eng</t>
        </is>
      </c>
      <c r="AV235" t="inlineStr">
        <is>
          <t>60428</t>
        </is>
      </c>
      <c r="AW235" t="inlineStr">
        <is>
          <t>991000157069702656</t>
        </is>
      </c>
      <c r="AX235" t="inlineStr">
        <is>
          <t>991000157069702656</t>
        </is>
      </c>
      <c r="AY235" t="inlineStr">
        <is>
          <t>2271527290002656</t>
        </is>
      </c>
      <c r="AZ235" t="inlineStr">
        <is>
          <t>BOOK</t>
        </is>
      </c>
      <c r="BC235" t="inlineStr">
        <is>
          <t>32285000367556</t>
        </is>
      </c>
      <c r="BD235" t="inlineStr">
        <is>
          <t>893884177</t>
        </is>
      </c>
    </row>
    <row r="236">
      <c r="A236" t="inlineStr">
        <is>
          <t>No</t>
        </is>
      </c>
      <c r="B236" t="inlineStr">
        <is>
          <t>TX724.5.J3 T9</t>
        </is>
      </c>
      <c r="C236" t="inlineStr">
        <is>
          <t>0                      TX 0724500J  3                  T  9</t>
        </is>
      </c>
      <c r="D236" t="inlineStr">
        <is>
          <t>Typical Japanese cooking / edited by the Japanese Cooking Companions.</t>
        </is>
      </c>
      <c r="F236" t="inlineStr">
        <is>
          <t>No</t>
        </is>
      </c>
      <c r="G236" t="inlineStr">
        <is>
          <t>1</t>
        </is>
      </c>
      <c r="H236" t="inlineStr">
        <is>
          <t>No</t>
        </is>
      </c>
      <c r="I236" t="inlineStr">
        <is>
          <t>No</t>
        </is>
      </c>
      <c r="J236" t="inlineStr">
        <is>
          <t>0</t>
        </is>
      </c>
      <c r="L236" t="inlineStr">
        <is>
          <t>Tokyo : Japan Publications, [1970]</t>
        </is>
      </c>
      <c r="M236" t="inlineStr">
        <is>
          <t>1970</t>
        </is>
      </c>
      <c r="O236" t="inlineStr">
        <is>
          <t>eng</t>
        </is>
      </c>
      <c r="P236" t="inlineStr">
        <is>
          <t xml:space="preserve">ja </t>
        </is>
      </c>
      <c r="R236" t="inlineStr">
        <is>
          <t xml:space="preserve">TX </t>
        </is>
      </c>
      <c r="S236" t="n">
        <v>16</v>
      </c>
      <c r="T236" t="n">
        <v>16</v>
      </c>
      <c r="U236" t="inlineStr">
        <is>
          <t>2009-11-29</t>
        </is>
      </c>
      <c r="V236" t="inlineStr">
        <is>
          <t>2009-11-29</t>
        </is>
      </c>
      <c r="W236" t="inlineStr">
        <is>
          <t>1991-10-18</t>
        </is>
      </c>
      <c r="X236" t="inlineStr">
        <is>
          <t>1991-10-18</t>
        </is>
      </c>
      <c r="Y236" t="n">
        <v>61</v>
      </c>
      <c r="Z236" t="n">
        <v>51</v>
      </c>
      <c r="AA236" t="n">
        <v>51</v>
      </c>
      <c r="AB236" t="n">
        <v>1</v>
      </c>
      <c r="AC236" t="n">
        <v>1</v>
      </c>
      <c r="AD236" t="n">
        <v>0</v>
      </c>
      <c r="AE236" t="n">
        <v>0</v>
      </c>
      <c r="AF236" t="n">
        <v>0</v>
      </c>
      <c r="AG236" t="n">
        <v>0</v>
      </c>
      <c r="AH236" t="n">
        <v>0</v>
      </c>
      <c r="AI236" t="n">
        <v>0</v>
      </c>
      <c r="AJ236" t="n">
        <v>0</v>
      </c>
      <c r="AK236" t="n">
        <v>0</v>
      </c>
      <c r="AL236" t="n">
        <v>0</v>
      </c>
      <c r="AM236" t="n">
        <v>0</v>
      </c>
      <c r="AN236" t="n">
        <v>0</v>
      </c>
      <c r="AO236" t="n">
        <v>0</v>
      </c>
      <c r="AP236" t="inlineStr">
        <is>
          <t>No</t>
        </is>
      </c>
      <c r="AQ236" t="inlineStr">
        <is>
          <t>No</t>
        </is>
      </c>
      <c r="AS236">
        <f>HYPERLINK("https://creighton-primo.hosted.exlibrisgroup.com/primo-explore/search?tab=default_tab&amp;search_scope=EVERYTHING&amp;vid=01CRU&amp;lang=en_US&amp;offset=0&amp;query=any,contains,991000803059702656","Catalog Record")</f>
        <v/>
      </c>
      <c r="AT236">
        <f>HYPERLINK("http://www.worldcat.org/oclc/139661","WorldCat Record")</f>
        <v/>
      </c>
      <c r="AU236" t="inlineStr">
        <is>
          <t>1299336:eng</t>
        </is>
      </c>
      <c r="AV236" t="inlineStr">
        <is>
          <t>139661</t>
        </is>
      </c>
      <c r="AW236" t="inlineStr">
        <is>
          <t>991000803059702656</t>
        </is>
      </c>
      <c r="AX236" t="inlineStr">
        <is>
          <t>991000803059702656</t>
        </is>
      </c>
      <c r="AY236" t="inlineStr">
        <is>
          <t>2261376280002656</t>
        </is>
      </c>
      <c r="AZ236" t="inlineStr">
        <is>
          <t>BOOK</t>
        </is>
      </c>
      <c r="BC236" t="inlineStr">
        <is>
          <t>32285000776475</t>
        </is>
      </c>
      <c r="BD236" t="inlineStr">
        <is>
          <t>893225323</t>
        </is>
      </c>
    </row>
    <row r="237">
      <c r="A237" t="inlineStr">
        <is>
          <t>No</t>
        </is>
      </c>
      <c r="B237" t="inlineStr">
        <is>
          <t>TX724.5.K65 H9 1988</t>
        </is>
      </c>
      <c r="C237" t="inlineStr">
        <is>
          <t>0                      TX 0724500K  65                 H  9           1988</t>
        </is>
      </c>
      <c r="D237" t="inlineStr">
        <is>
          <t>The Korean cookbook / Judy Hyun ; with an introduction by Nika Standen Hazelton.</t>
        </is>
      </c>
      <c r="F237" t="inlineStr">
        <is>
          <t>No</t>
        </is>
      </c>
      <c r="G237" t="inlineStr">
        <is>
          <t>1</t>
        </is>
      </c>
      <c r="H237" t="inlineStr">
        <is>
          <t>No</t>
        </is>
      </c>
      <c r="I237" t="inlineStr">
        <is>
          <t>No</t>
        </is>
      </c>
      <c r="J237" t="inlineStr">
        <is>
          <t>0</t>
        </is>
      </c>
      <c r="K237" t="inlineStr">
        <is>
          <t>Hyun, Judy.</t>
        </is>
      </c>
      <c r="L237" t="inlineStr">
        <is>
          <t>Elizabeth, N.J. : Hollym International Corp., 1988.</t>
        </is>
      </c>
      <c r="M237" t="inlineStr">
        <is>
          <t>1988</t>
        </is>
      </c>
      <c r="N237" t="inlineStr">
        <is>
          <t>Illustrated ed.</t>
        </is>
      </c>
      <c r="O237" t="inlineStr">
        <is>
          <t>eng</t>
        </is>
      </c>
      <c r="P237" t="inlineStr">
        <is>
          <t>nju</t>
        </is>
      </c>
      <c r="R237" t="inlineStr">
        <is>
          <t xml:space="preserve">TX </t>
        </is>
      </c>
      <c r="S237" t="n">
        <v>13</v>
      </c>
      <c r="T237" t="n">
        <v>13</v>
      </c>
      <c r="U237" t="inlineStr">
        <is>
          <t>2002-03-18</t>
        </is>
      </c>
      <c r="V237" t="inlineStr">
        <is>
          <t>2002-03-18</t>
        </is>
      </c>
      <c r="W237" t="inlineStr">
        <is>
          <t>1993-10-04</t>
        </is>
      </c>
      <c r="X237" t="inlineStr">
        <is>
          <t>1993-10-04</t>
        </is>
      </c>
      <c r="Y237" t="n">
        <v>21</v>
      </c>
      <c r="Z237" t="n">
        <v>18</v>
      </c>
      <c r="AA237" t="n">
        <v>161</v>
      </c>
      <c r="AB237" t="n">
        <v>1</v>
      </c>
      <c r="AC237" t="n">
        <v>2</v>
      </c>
      <c r="AD237" t="n">
        <v>1</v>
      </c>
      <c r="AE237" t="n">
        <v>2</v>
      </c>
      <c r="AF237" t="n">
        <v>0</v>
      </c>
      <c r="AG237" t="n">
        <v>0</v>
      </c>
      <c r="AH237" t="n">
        <v>0</v>
      </c>
      <c r="AI237" t="n">
        <v>0</v>
      </c>
      <c r="AJ237" t="n">
        <v>1</v>
      </c>
      <c r="AK237" t="n">
        <v>1</v>
      </c>
      <c r="AL237" t="n">
        <v>0</v>
      </c>
      <c r="AM237" t="n">
        <v>1</v>
      </c>
      <c r="AN237" t="n">
        <v>0</v>
      </c>
      <c r="AO237" t="n">
        <v>0</v>
      </c>
      <c r="AP237" t="inlineStr">
        <is>
          <t>No</t>
        </is>
      </c>
      <c r="AQ237" t="inlineStr">
        <is>
          <t>No</t>
        </is>
      </c>
      <c r="AS237">
        <f>HYPERLINK("https://creighton-primo.hosted.exlibrisgroup.com/primo-explore/search?tab=default_tab&amp;search_scope=EVERYTHING&amp;vid=01CRU&amp;lang=en_US&amp;offset=0&amp;query=any,contains,991001698119702656","Catalog Record")</f>
        <v/>
      </c>
      <c r="AT237">
        <f>HYPERLINK("http://www.worldcat.org/oclc/21512108","WorldCat Record")</f>
        <v/>
      </c>
      <c r="AU237" t="inlineStr">
        <is>
          <t>1233987:eng</t>
        </is>
      </c>
      <c r="AV237" t="inlineStr">
        <is>
          <t>21512108</t>
        </is>
      </c>
      <c r="AW237" t="inlineStr">
        <is>
          <t>991001698119702656</t>
        </is>
      </c>
      <c r="AX237" t="inlineStr">
        <is>
          <t>991001698119702656</t>
        </is>
      </c>
      <c r="AY237" t="inlineStr">
        <is>
          <t>2270327160002656</t>
        </is>
      </c>
      <c r="AZ237" t="inlineStr">
        <is>
          <t>BOOK</t>
        </is>
      </c>
      <c r="BB237" t="inlineStr">
        <is>
          <t>9780930878603</t>
        </is>
      </c>
      <c r="BC237" t="inlineStr">
        <is>
          <t>32285001769735</t>
        </is>
      </c>
      <c r="BD237" t="inlineStr">
        <is>
          <t>893328308</t>
        </is>
      </c>
    </row>
    <row r="238">
      <c r="A238" t="inlineStr">
        <is>
          <t>No</t>
        </is>
      </c>
      <c r="B238" t="inlineStr">
        <is>
          <t>TX724.5.P6 B44 1974</t>
        </is>
      </c>
      <c r="C238" t="inlineStr">
        <is>
          <t>0                      TX 0724500P  6                  B  44          1974</t>
        </is>
      </c>
      <c r="D238" t="inlineStr">
        <is>
          <t>The Polynesian cookbook / by Victor Bennett.</t>
        </is>
      </c>
      <c r="F238" t="inlineStr">
        <is>
          <t>No</t>
        </is>
      </c>
      <c r="G238" t="inlineStr">
        <is>
          <t>1</t>
        </is>
      </c>
      <c r="H238" t="inlineStr">
        <is>
          <t>No</t>
        </is>
      </c>
      <c r="I238" t="inlineStr">
        <is>
          <t>No</t>
        </is>
      </c>
      <c r="J238" t="inlineStr">
        <is>
          <t>0</t>
        </is>
      </c>
      <c r="K238" t="inlineStr">
        <is>
          <t>Bennett, Victor, 1919-</t>
        </is>
      </c>
      <c r="L238" t="inlineStr">
        <is>
          <t>New York : Galahad Books, [1974?]</t>
        </is>
      </c>
      <c r="M238" t="inlineStr">
        <is>
          <t>1974</t>
        </is>
      </c>
      <c r="O238" t="inlineStr">
        <is>
          <t>eng</t>
        </is>
      </c>
      <c r="P238" t="inlineStr">
        <is>
          <t>nyu</t>
        </is>
      </c>
      <c r="R238" t="inlineStr">
        <is>
          <t xml:space="preserve">TX </t>
        </is>
      </c>
      <c r="S238" t="n">
        <v>3</v>
      </c>
      <c r="T238" t="n">
        <v>3</v>
      </c>
      <c r="U238" t="inlineStr">
        <is>
          <t>1993-11-19</t>
        </is>
      </c>
      <c r="V238" t="inlineStr">
        <is>
          <t>1993-11-19</t>
        </is>
      </c>
      <c r="W238" t="inlineStr">
        <is>
          <t>1992-11-10</t>
        </is>
      </c>
      <c r="X238" t="inlineStr">
        <is>
          <t>1992-11-10</t>
        </is>
      </c>
      <c r="Y238" t="n">
        <v>91</v>
      </c>
      <c r="Z238" t="n">
        <v>82</v>
      </c>
      <c r="AA238" t="n">
        <v>84</v>
      </c>
      <c r="AB238" t="n">
        <v>1</v>
      </c>
      <c r="AC238" t="n">
        <v>1</v>
      </c>
      <c r="AD238" t="n">
        <v>0</v>
      </c>
      <c r="AE238" t="n">
        <v>0</v>
      </c>
      <c r="AF238" t="n">
        <v>0</v>
      </c>
      <c r="AG238" t="n">
        <v>0</v>
      </c>
      <c r="AH238" t="n">
        <v>0</v>
      </c>
      <c r="AI238" t="n">
        <v>0</v>
      </c>
      <c r="AJ238" t="n">
        <v>0</v>
      </c>
      <c r="AK238" t="n">
        <v>0</v>
      </c>
      <c r="AL238" t="n">
        <v>0</v>
      </c>
      <c r="AM238" t="n">
        <v>0</v>
      </c>
      <c r="AN238" t="n">
        <v>0</v>
      </c>
      <c r="AO238" t="n">
        <v>0</v>
      </c>
      <c r="AP238" t="inlineStr">
        <is>
          <t>No</t>
        </is>
      </c>
      <c r="AQ238" t="inlineStr">
        <is>
          <t>Yes</t>
        </is>
      </c>
      <c r="AR238">
        <f>HYPERLINK("http://catalog.hathitrust.org/Record/010746771","HathiTrust Record")</f>
        <v/>
      </c>
      <c r="AS238">
        <f>HYPERLINK("https://creighton-primo.hosted.exlibrisgroup.com/primo-explore/search?tab=default_tab&amp;search_scope=EVERYTHING&amp;vid=01CRU&amp;lang=en_US&amp;offset=0&amp;query=any,contains,991003529669702656","Catalog Record")</f>
        <v/>
      </c>
      <c r="AT238">
        <f>HYPERLINK("http://www.worldcat.org/oclc/1093204","WorldCat Record")</f>
        <v/>
      </c>
      <c r="AU238" t="inlineStr">
        <is>
          <t>199098676:eng</t>
        </is>
      </c>
      <c r="AV238" t="inlineStr">
        <is>
          <t>1093204</t>
        </is>
      </c>
      <c r="AW238" t="inlineStr">
        <is>
          <t>991003529669702656</t>
        </is>
      </c>
      <c r="AX238" t="inlineStr">
        <is>
          <t>991003529669702656</t>
        </is>
      </c>
      <c r="AY238" t="inlineStr">
        <is>
          <t>2264705720002656</t>
        </is>
      </c>
      <c r="AZ238" t="inlineStr">
        <is>
          <t>BOOK</t>
        </is>
      </c>
      <c r="BB238" t="inlineStr">
        <is>
          <t>9780883650714</t>
        </is>
      </c>
      <c r="BC238" t="inlineStr">
        <is>
          <t>32285001383792</t>
        </is>
      </c>
      <c r="BD238" t="inlineStr">
        <is>
          <t>893336583</t>
        </is>
      </c>
    </row>
    <row r="239">
      <c r="A239" t="inlineStr">
        <is>
          <t>No</t>
        </is>
      </c>
      <c r="B239" t="inlineStr">
        <is>
          <t>TX725.A1 C66</t>
        </is>
      </c>
      <c r="C239" t="inlineStr">
        <is>
          <t>0                      TX 0725000A  1                  C  66</t>
        </is>
      </c>
      <c r="D239" t="inlineStr">
        <is>
          <t>Betty Crocker's International cookbook / [director of photography, Barbara Gorder Sims ; ill., Pat Stewart].</t>
        </is>
      </c>
      <c r="F239" t="inlineStr">
        <is>
          <t>No</t>
        </is>
      </c>
      <c r="G239" t="inlineStr">
        <is>
          <t>1</t>
        </is>
      </c>
      <c r="H239" t="inlineStr">
        <is>
          <t>No</t>
        </is>
      </c>
      <c r="I239" t="inlineStr">
        <is>
          <t>No</t>
        </is>
      </c>
      <c r="J239" t="inlineStr">
        <is>
          <t>0</t>
        </is>
      </c>
      <c r="K239" t="inlineStr">
        <is>
          <t>Crocker, Betty.</t>
        </is>
      </c>
      <c r="L239" t="inlineStr">
        <is>
          <t>New York : Random House, c1980.</t>
        </is>
      </c>
      <c r="M239" t="inlineStr">
        <is>
          <t>1980</t>
        </is>
      </c>
      <c r="N239" t="inlineStr">
        <is>
          <t>1st ed.</t>
        </is>
      </c>
      <c r="O239" t="inlineStr">
        <is>
          <t>eng</t>
        </is>
      </c>
      <c r="P239" t="inlineStr">
        <is>
          <t>nyu</t>
        </is>
      </c>
      <c r="R239" t="inlineStr">
        <is>
          <t xml:space="preserve">TX </t>
        </is>
      </c>
      <c r="S239" t="n">
        <v>24</v>
      </c>
      <c r="T239" t="n">
        <v>24</v>
      </c>
      <c r="U239" t="inlineStr">
        <is>
          <t>2009-11-29</t>
        </is>
      </c>
      <c r="V239" t="inlineStr">
        <is>
          <t>2009-11-29</t>
        </is>
      </c>
      <c r="W239" t="inlineStr">
        <is>
          <t>1992-01-10</t>
        </is>
      </c>
      <c r="X239" t="inlineStr">
        <is>
          <t>1992-01-10</t>
        </is>
      </c>
      <c r="Y239" t="n">
        <v>872</v>
      </c>
      <c r="Z239" t="n">
        <v>851</v>
      </c>
      <c r="AA239" t="n">
        <v>856</v>
      </c>
      <c r="AB239" t="n">
        <v>6</v>
      </c>
      <c r="AC239" t="n">
        <v>6</v>
      </c>
      <c r="AD239" t="n">
        <v>2</v>
      </c>
      <c r="AE239" t="n">
        <v>2</v>
      </c>
      <c r="AF239" t="n">
        <v>0</v>
      </c>
      <c r="AG239" t="n">
        <v>0</v>
      </c>
      <c r="AH239" t="n">
        <v>0</v>
      </c>
      <c r="AI239" t="n">
        <v>0</v>
      </c>
      <c r="AJ239" t="n">
        <v>1</v>
      </c>
      <c r="AK239" t="n">
        <v>1</v>
      </c>
      <c r="AL239" t="n">
        <v>1</v>
      </c>
      <c r="AM239" t="n">
        <v>1</v>
      </c>
      <c r="AN239" t="n">
        <v>0</v>
      </c>
      <c r="AO239" t="n">
        <v>0</v>
      </c>
      <c r="AP239" t="inlineStr">
        <is>
          <t>No</t>
        </is>
      </c>
      <c r="AQ239" t="inlineStr">
        <is>
          <t>No</t>
        </is>
      </c>
      <c r="AS239">
        <f>HYPERLINK("https://creighton-primo.hosted.exlibrisgroup.com/primo-explore/search?tab=default_tab&amp;search_scope=EVERYTHING&amp;vid=01CRU&amp;lang=en_US&amp;offset=0&amp;query=any,contains,991004951179702656","Catalog Record")</f>
        <v/>
      </c>
      <c r="AT239">
        <f>HYPERLINK("http://www.worldcat.org/oclc/6250156","WorldCat Record")</f>
        <v/>
      </c>
      <c r="AU239" t="inlineStr">
        <is>
          <t>3857692941:eng</t>
        </is>
      </c>
      <c r="AV239" t="inlineStr">
        <is>
          <t>6250156</t>
        </is>
      </c>
      <c r="AW239" t="inlineStr">
        <is>
          <t>991004951179702656</t>
        </is>
      </c>
      <c r="AX239" t="inlineStr">
        <is>
          <t>991004951179702656</t>
        </is>
      </c>
      <c r="AY239" t="inlineStr">
        <is>
          <t>2264969110002656</t>
        </is>
      </c>
      <c r="AZ239" t="inlineStr">
        <is>
          <t>BOOK</t>
        </is>
      </c>
      <c r="BB239" t="inlineStr">
        <is>
          <t>9780394504537</t>
        </is>
      </c>
      <c r="BC239" t="inlineStr">
        <is>
          <t>32285000912336</t>
        </is>
      </c>
      <c r="BD239" t="inlineStr">
        <is>
          <t>893594280</t>
        </is>
      </c>
    </row>
    <row r="240">
      <c r="A240" t="inlineStr">
        <is>
          <t>No</t>
        </is>
      </c>
      <c r="B240" t="inlineStr">
        <is>
          <t>TX725.A4 V3</t>
        </is>
      </c>
      <c r="C240" t="inlineStr">
        <is>
          <t>0                      TX 0725000A  4                  V  3</t>
        </is>
      </c>
      <c r="D240" t="inlineStr">
        <is>
          <t>African cooking / by Laurens van der Post and the editors of Time-Life Books. Photographed by Brian Seed and Richard Jeffery.</t>
        </is>
      </c>
      <c r="F240" t="inlineStr">
        <is>
          <t>No</t>
        </is>
      </c>
      <c r="G240" t="inlineStr">
        <is>
          <t>1</t>
        </is>
      </c>
      <c r="H240" t="inlineStr">
        <is>
          <t>No</t>
        </is>
      </c>
      <c r="I240" t="inlineStr">
        <is>
          <t>No</t>
        </is>
      </c>
      <c r="J240" t="inlineStr">
        <is>
          <t>0</t>
        </is>
      </c>
      <c r="K240" t="inlineStr">
        <is>
          <t>Van der Post, Laurens.</t>
        </is>
      </c>
      <c r="L240" t="inlineStr">
        <is>
          <t>New York : Time-Life Books, [1970]</t>
        </is>
      </c>
      <c r="M240" t="inlineStr">
        <is>
          <t>1970</t>
        </is>
      </c>
      <c r="O240" t="inlineStr">
        <is>
          <t>eng</t>
        </is>
      </c>
      <c r="P240" t="inlineStr">
        <is>
          <t>nyu</t>
        </is>
      </c>
      <c r="Q240" t="inlineStr">
        <is>
          <t>Foods of the world</t>
        </is>
      </c>
      <c r="R240" t="inlineStr">
        <is>
          <t xml:space="preserve">TX </t>
        </is>
      </c>
      <c r="S240" t="n">
        <v>6</v>
      </c>
      <c r="T240" t="n">
        <v>6</v>
      </c>
      <c r="U240" t="inlineStr">
        <is>
          <t>1996-10-22</t>
        </is>
      </c>
      <c r="V240" t="inlineStr">
        <is>
          <t>1996-10-22</t>
        </is>
      </c>
      <c r="W240" t="inlineStr">
        <is>
          <t>1992-02-20</t>
        </is>
      </c>
      <c r="X240" t="inlineStr">
        <is>
          <t>1992-02-20</t>
        </is>
      </c>
      <c r="Y240" t="n">
        <v>979</v>
      </c>
      <c r="Z240" t="n">
        <v>919</v>
      </c>
      <c r="AA240" t="n">
        <v>943</v>
      </c>
      <c r="AB240" t="n">
        <v>5</v>
      </c>
      <c r="AC240" t="n">
        <v>5</v>
      </c>
      <c r="AD240" t="n">
        <v>10</v>
      </c>
      <c r="AE240" t="n">
        <v>12</v>
      </c>
      <c r="AF240" t="n">
        <v>4</v>
      </c>
      <c r="AG240" t="n">
        <v>5</v>
      </c>
      <c r="AH240" t="n">
        <v>0</v>
      </c>
      <c r="AI240" t="n">
        <v>1</v>
      </c>
      <c r="AJ240" t="n">
        <v>3</v>
      </c>
      <c r="AK240" t="n">
        <v>3</v>
      </c>
      <c r="AL240" t="n">
        <v>3</v>
      </c>
      <c r="AM240" t="n">
        <v>3</v>
      </c>
      <c r="AN240" t="n">
        <v>0</v>
      </c>
      <c r="AO240" t="n">
        <v>0</v>
      </c>
      <c r="AP240" t="inlineStr">
        <is>
          <t>No</t>
        </is>
      </c>
      <c r="AQ240" t="inlineStr">
        <is>
          <t>Yes</t>
        </is>
      </c>
      <c r="AR240">
        <f>HYPERLINK("http://catalog.hathitrust.org/Record/009158854","HathiTrust Record")</f>
        <v/>
      </c>
      <c r="AS240">
        <f>HYPERLINK("https://creighton-primo.hosted.exlibrisgroup.com/primo-explore/search?tab=default_tab&amp;search_scope=EVERYTHING&amp;vid=01CRU&amp;lang=en_US&amp;offset=0&amp;query=any,contains,991000656759702656","Catalog Record")</f>
        <v/>
      </c>
      <c r="AT240">
        <f>HYPERLINK("http://www.worldcat.org/oclc/115824","WorldCat Record")</f>
        <v/>
      </c>
      <c r="AU240" t="inlineStr">
        <is>
          <t>447735:eng</t>
        </is>
      </c>
      <c r="AV240" t="inlineStr">
        <is>
          <t>115824</t>
        </is>
      </c>
      <c r="AW240" t="inlineStr">
        <is>
          <t>991000656759702656</t>
        </is>
      </c>
      <c r="AX240" t="inlineStr">
        <is>
          <t>991000656759702656</t>
        </is>
      </c>
      <c r="AY240" t="inlineStr">
        <is>
          <t>2260334650002656</t>
        </is>
      </c>
      <c r="AZ240" t="inlineStr">
        <is>
          <t>BOOK</t>
        </is>
      </c>
      <c r="BC240" t="inlineStr">
        <is>
          <t>32285000971795</t>
        </is>
      </c>
      <c r="BD240" t="inlineStr">
        <is>
          <t>893231301</t>
        </is>
      </c>
    </row>
    <row r="241">
      <c r="A241" t="inlineStr">
        <is>
          <t>No</t>
        </is>
      </c>
      <c r="B241" t="inlineStr">
        <is>
          <t>TX725.D65 .N56 1999</t>
        </is>
      </c>
      <c r="C241" t="inlineStr">
        <is>
          <t>0                      TX 0725000D  65                 N  56          1999</t>
        </is>
      </c>
      <c r="D241" t="inlineStr">
        <is>
          <t>El origen de la cocina dominicana / Juan B. Nina.</t>
        </is>
      </c>
      <c r="F241" t="inlineStr">
        <is>
          <t>No</t>
        </is>
      </c>
      <c r="G241" t="inlineStr">
        <is>
          <t>1</t>
        </is>
      </c>
      <c r="H241" t="inlineStr">
        <is>
          <t>No</t>
        </is>
      </c>
      <c r="I241" t="inlineStr">
        <is>
          <t>No</t>
        </is>
      </c>
      <c r="J241" t="inlineStr">
        <is>
          <t>0</t>
        </is>
      </c>
      <c r="K241" t="inlineStr">
        <is>
          <t>Nina, Juan B. (Juan Bautista), 1959-</t>
        </is>
      </c>
      <c r="L241" t="inlineStr">
        <is>
          <t>Santo Domingo, República Dominicana : [S.n.], 1999</t>
        </is>
      </c>
      <c r="M241" t="inlineStr">
        <is>
          <t>1999</t>
        </is>
      </c>
      <c r="N241" t="inlineStr">
        <is>
          <t>1a ed.</t>
        </is>
      </c>
      <c r="O241" t="inlineStr">
        <is>
          <t>spa</t>
        </is>
      </c>
      <c r="P241" t="inlineStr">
        <is>
          <t xml:space="preserve">dr </t>
        </is>
      </c>
      <c r="R241" t="inlineStr">
        <is>
          <t xml:space="preserve">TX </t>
        </is>
      </c>
      <c r="S241" t="n">
        <v>1</v>
      </c>
      <c r="T241" t="n">
        <v>1</v>
      </c>
      <c r="U241" t="inlineStr">
        <is>
          <t>2002-11-24</t>
        </is>
      </c>
      <c r="V241" t="inlineStr">
        <is>
          <t>2002-11-24</t>
        </is>
      </c>
      <c r="W241" t="inlineStr">
        <is>
          <t>1999-11-10</t>
        </is>
      </c>
      <c r="X241" t="inlineStr">
        <is>
          <t>1999-11-10</t>
        </is>
      </c>
      <c r="Y241" t="n">
        <v>14</v>
      </c>
      <c r="Z241" t="n">
        <v>14</v>
      </c>
      <c r="AA241" t="n">
        <v>23</v>
      </c>
      <c r="AB241" t="n">
        <v>1</v>
      </c>
      <c r="AC241" t="n">
        <v>1</v>
      </c>
      <c r="AD241" t="n">
        <v>1</v>
      </c>
      <c r="AE241" t="n">
        <v>1</v>
      </c>
      <c r="AF241" t="n">
        <v>0</v>
      </c>
      <c r="AG241" t="n">
        <v>0</v>
      </c>
      <c r="AH241" t="n">
        <v>1</v>
      </c>
      <c r="AI241" t="n">
        <v>1</v>
      </c>
      <c r="AJ241" t="n">
        <v>0</v>
      </c>
      <c r="AK241" t="n">
        <v>0</v>
      </c>
      <c r="AL241" t="n">
        <v>0</v>
      </c>
      <c r="AM241" t="n">
        <v>0</v>
      </c>
      <c r="AN241" t="n">
        <v>0</v>
      </c>
      <c r="AO241" t="n">
        <v>0</v>
      </c>
      <c r="AP241" t="inlineStr">
        <is>
          <t>No</t>
        </is>
      </c>
      <c r="AQ241" t="inlineStr">
        <is>
          <t>Yes</t>
        </is>
      </c>
      <c r="AR241">
        <f>HYPERLINK("http://catalog.hathitrust.org/Record/004216070","HathiTrust Record")</f>
        <v/>
      </c>
      <c r="AS241">
        <f>HYPERLINK("https://creighton-primo.hosted.exlibrisgroup.com/primo-explore/search?tab=default_tab&amp;search_scope=EVERYTHING&amp;vid=01CRU&amp;lang=en_US&amp;offset=0&amp;query=any,contains,991003044539702656","Catalog Record")</f>
        <v/>
      </c>
      <c r="AT241">
        <f>HYPERLINK("http://www.worldcat.org/oclc/42421187","WorldCat Record")</f>
        <v/>
      </c>
      <c r="AU241" t="inlineStr">
        <is>
          <t>376447571:spa</t>
        </is>
      </c>
      <c r="AV241" t="inlineStr">
        <is>
          <t>42421187</t>
        </is>
      </c>
      <c r="AW241" t="inlineStr">
        <is>
          <t>991003044539702656</t>
        </is>
      </c>
      <c r="AX241" t="inlineStr">
        <is>
          <t>991003044539702656</t>
        </is>
      </c>
      <c r="AY241" t="inlineStr">
        <is>
          <t>2269391670002656</t>
        </is>
      </c>
      <c r="AZ241" t="inlineStr">
        <is>
          <t>BOOK</t>
        </is>
      </c>
      <c r="BC241" t="inlineStr">
        <is>
          <t>32285003620720</t>
        </is>
      </c>
      <c r="BD241" t="inlineStr">
        <is>
          <t>893774339</t>
        </is>
      </c>
    </row>
    <row r="242">
      <c r="A242" t="inlineStr">
        <is>
          <t>No</t>
        </is>
      </c>
      <c r="B242" t="inlineStr">
        <is>
          <t>TX725.D65 L57 1998</t>
        </is>
      </c>
      <c r="C242" t="inlineStr">
        <is>
          <t>0                      TX 0725000D  65                 L  57          1998</t>
        </is>
      </c>
      <c r="D242" t="inlineStr">
        <is>
          <t>Cocina facil / Esperanza de Lithgow.</t>
        </is>
      </c>
      <c r="F242" t="inlineStr">
        <is>
          <t>No</t>
        </is>
      </c>
      <c r="G242" t="inlineStr">
        <is>
          <t>1</t>
        </is>
      </c>
      <c r="H242" t="inlineStr">
        <is>
          <t>No</t>
        </is>
      </c>
      <c r="I242" t="inlineStr">
        <is>
          <t>No</t>
        </is>
      </c>
      <c r="J242" t="inlineStr">
        <is>
          <t>0</t>
        </is>
      </c>
      <c r="K242" t="inlineStr">
        <is>
          <t>Lithgow, Esperanza de.</t>
        </is>
      </c>
      <c r="L242" t="inlineStr">
        <is>
          <t>[Santo Domingo, República Dominicana] : Editora Taller, 1998.</t>
        </is>
      </c>
      <c r="M242" t="inlineStr">
        <is>
          <t>1998</t>
        </is>
      </c>
      <c r="N242" t="inlineStr">
        <is>
          <t>3. ed.</t>
        </is>
      </c>
      <c r="O242" t="inlineStr">
        <is>
          <t>spa</t>
        </is>
      </c>
      <c r="P242" t="inlineStr">
        <is>
          <t xml:space="preserve">dr </t>
        </is>
      </c>
      <c r="Q242" t="inlineStr">
        <is>
          <t>Biblioteca Taller. Culinaria</t>
        </is>
      </c>
      <c r="R242" t="inlineStr">
        <is>
          <t xml:space="preserve">TX </t>
        </is>
      </c>
      <c r="S242" t="n">
        <v>2</v>
      </c>
      <c r="T242" t="n">
        <v>2</v>
      </c>
      <c r="U242" t="inlineStr">
        <is>
          <t>2002-11-24</t>
        </is>
      </c>
      <c r="V242" t="inlineStr">
        <is>
          <t>2002-11-24</t>
        </is>
      </c>
      <c r="W242" t="inlineStr">
        <is>
          <t>2000-11-28</t>
        </is>
      </c>
      <c r="X242" t="inlineStr">
        <is>
          <t>2000-11-28</t>
        </is>
      </c>
      <c r="Y242" t="n">
        <v>3</v>
      </c>
      <c r="Z242" t="n">
        <v>3</v>
      </c>
      <c r="AA242" t="n">
        <v>8</v>
      </c>
      <c r="AB242" t="n">
        <v>1</v>
      </c>
      <c r="AC242" t="n">
        <v>1</v>
      </c>
      <c r="AD242" t="n">
        <v>0</v>
      </c>
      <c r="AE242" t="n">
        <v>0</v>
      </c>
      <c r="AF242" t="n">
        <v>0</v>
      </c>
      <c r="AG242" t="n">
        <v>0</v>
      </c>
      <c r="AH242" t="n">
        <v>0</v>
      </c>
      <c r="AI242" t="n">
        <v>0</v>
      </c>
      <c r="AJ242" t="n">
        <v>0</v>
      </c>
      <c r="AK242" t="n">
        <v>0</v>
      </c>
      <c r="AL242" t="n">
        <v>0</v>
      </c>
      <c r="AM242" t="n">
        <v>0</v>
      </c>
      <c r="AN242" t="n">
        <v>0</v>
      </c>
      <c r="AO242" t="n">
        <v>0</v>
      </c>
      <c r="AP242" t="inlineStr">
        <is>
          <t>No</t>
        </is>
      </c>
      <c r="AQ242" t="inlineStr">
        <is>
          <t>No</t>
        </is>
      </c>
      <c r="AS242">
        <f>HYPERLINK("https://creighton-primo.hosted.exlibrisgroup.com/primo-explore/search?tab=default_tab&amp;search_scope=EVERYTHING&amp;vid=01CRU&amp;lang=en_US&amp;offset=0&amp;query=any,contains,991003356739702656","Catalog Record")</f>
        <v/>
      </c>
      <c r="AT242">
        <f>HYPERLINK("http://www.worldcat.org/oclc/45030721","WorldCat Record")</f>
        <v/>
      </c>
      <c r="AU242" t="inlineStr">
        <is>
          <t>14070882:spa</t>
        </is>
      </c>
      <c r="AV242" t="inlineStr">
        <is>
          <t>45030721</t>
        </is>
      </c>
      <c r="AW242" t="inlineStr">
        <is>
          <t>991003356739702656</t>
        </is>
      </c>
      <c r="AX242" t="inlineStr">
        <is>
          <t>991003356739702656</t>
        </is>
      </c>
      <c r="AY242" t="inlineStr">
        <is>
          <t>2259011300002656</t>
        </is>
      </c>
      <c r="AZ242" t="inlineStr">
        <is>
          <t>BOOK</t>
        </is>
      </c>
      <c r="BB242" t="inlineStr">
        <is>
          <t>9788484002765</t>
        </is>
      </c>
      <c r="BC242" t="inlineStr">
        <is>
          <t>32285004266929</t>
        </is>
      </c>
      <c r="BD242" t="inlineStr">
        <is>
          <t>893717581</t>
        </is>
      </c>
    </row>
    <row r="243">
      <c r="A243" t="inlineStr">
        <is>
          <t>No</t>
        </is>
      </c>
      <c r="B243" t="inlineStr">
        <is>
          <t>TX725.M628 A28 2005</t>
        </is>
      </c>
      <c r="C243" t="inlineStr">
        <is>
          <t>0                      TX 0725000M  628                A  28          2005</t>
        </is>
      </c>
      <c r="D243" t="inlineStr">
        <is>
          <t>The language of Baklava / Diana Abu-Jaber.</t>
        </is>
      </c>
      <c r="F243" t="inlineStr">
        <is>
          <t>No</t>
        </is>
      </c>
      <c r="G243" t="inlineStr">
        <is>
          <t>1</t>
        </is>
      </c>
      <c r="H243" t="inlineStr">
        <is>
          <t>No</t>
        </is>
      </c>
      <c r="I243" t="inlineStr">
        <is>
          <t>No</t>
        </is>
      </c>
      <c r="J243" t="inlineStr">
        <is>
          <t>0</t>
        </is>
      </c>
      <c r="K243" t="inlineStr">
        <is>
          <t>Abu-Jaber, Diana.</t>
        </is>
      </c>
      <c r="L243" t="inlineStr">
        <is>
          <t>New York : Pantheon Books c2005.</t>
        </is>
      </c>
      <c r="M243" t="inlineStr">
        <is>
          <t>2005</t>
        </is>
      </c>
      <c r="N243" t="inlineStr">
        <is>
          <t>1st ed.</t>
        </is>
      </c>
      <c r="O243" t="inlineStr">
        <is>
          <t>eng</t>
        </is>
      </c>
      <c r="P243" t="inlineStr">
        <is>
          <t>nyu</t>
        </is>
      </c>
      <c r="R243" t="inlineStr">
        <is>
          <t xml:space="preserve">TX </t>
        </is>
      </c>
      <c r="S243" t="n">
        <v>3</v>
      </c>
      <c r="T243" t="n">
        <v>3</v>
      </c>
      <c r="U243" t="inlineStr">
        <is>
          <t>2006-08-07</t>
        </is>
      </c>
      <c r="V243" t="inlineStr">
        <is>
          <t>2006-08-07</t>
        </is>
      </c>
      <c r="W243" t="inlineStr">
        <is>
          <t>2006-02-03</t>
        </is>
      </c>
      <c r="X243" t="inlineStr">
        <is>
          <t>2006-02-03</t>
        </is>
      </c>
      <c r="Y243" t="n">
        <v>633</v>
      </c>
      <c r="Z243" t="n">
        <v>605</v>
      </c>
      <c r="AA243" t="n">
        <v>782</v>
      </c>
      <c r="AB243" t="n">
        <v>3</v>
      </c>
      <c r="AC243" t="n">
        <v>4</v>
      </c>
      <c r="AD243" t="n">
        <v>10</v>
      </c>
      <c r="AE243" t="n">
        <v>12</v>
      </c>
      <c r="AF243" t="n">
        <v>4</v>
      </c>
      <c r="AG243" t="n">
        <v>4</v>
      </c>
      <c r="AH243" t="n">
        <v>4</v>
      </c>
      <c r="AI243" t="n">
        <v>4</v>
      </c>
      <c r="AJ243" t="n">
        <v>2</v>
      </c>
      <c r="AK243" t="n">
        <v>4</v>
      </c>
      <c r="AL243" t="n">
        <v>2</v>
      </c>
      <c r="AM243" t="n">
        <v>2</v>
      </c>
      <c r="AN243" t="n">
        <v>0</v>
      </c>
      <c r="AO243" t="n">
        <v>0</v>
      </c>
      <c r="AP243" t="inlineStr">
        <is>
          <t>No</t>
        </is>
      </c>
      <c r="AQ243" t="inlineStr">
        <is>
          <t>No</t>
        </is>
      </c>
      <c r="AS243">
        <f>HYPERLINK("https://creighton-primo.hosted.exlibrisgroup.com/primo-explore/search?tab=default_tab&amp;search_scope=EVERYTHING&amp;vid=01CRU&amp;lang=en_US&amp;offset=0&amp;query=any,contains,991004732729702656","Catalog Record")</f>
        <v/>
      </c>
      <c r="AT243">
        <f>HYPERLINK("http://www.worldcat.org/oclc/56011467","WorldCat Record")</f>
        <v/>
      </c>
      <c r="AU243" t="inlineStr">
        <is>
          <t>1964631:eng</t>
        </is>
      </c>
      <c r="AV243" t="inlineStr">
        <is>
          <t>56011467</t>
        </is>
      </c>
      <c r="AW243" t="inlineStr">
        <is>
          <t>991004732729702656</t>
        </is>
      </c>
      <c r="AX243" t="inlineStr">
        <is>
          <t>991004732729702656</t>
        </is>
      </c>
      <c r="AY243" t="inlineStr">
        <is>
          <t>2255053900002656</t>
        </is>
      </c>
      <c r="AZ243" t="inlineStr">
        <is>
          <t>BOOK</t>
        </is>
      </c>
      <c r="BB243" t="inlineStr">
        <is>
          <t>9780375423048</t>
        </is>
      </c>
      <c r="BC243" t="inlineStr">
        <is>
          <t>32285005187934</t>
        </is>
      </c>
      <c r="BD243" t="inlineStr">
        <is>
          <t>893600171</t>
        </is>
      </c>
    </row>
    <row r="244">
      <c r="A244" t="inlineStr">
        <is>
          <t>No</t>
        </is>
      </c>
      <c r="B244" t="inlineStr">
        <is>
          <t>TX728 .C69</t>
        </is>
      </c>
      <c r="C244" t="inlineStr">
        <is>
          <t>0                      TX 0728000C  69</t>
        </is>
      </c>
      <c r="D244" t="inlineStr">
        <is>
          <t>Mr. and Mrs. Charles Dickens entertain at home. With Dickens on food, selected by Stuart McHugh.</t>
        </is>
      </c>
      <c r="F244" t="inlineStr">
        <is>
          <t>No</t>
        </is>
      </c>
      <c r="G244" t="inlineStr">
        <is>
          <t>1</t>
        </is>
      </c>
      <c r="H244" t="inlineStr">
        <is>
          <t>No</t>
        </is>
      </c>
      <c r="I244" t="inlineStr">
        <is>
          <t>No</t>
        </is>
      </c>
      <c r="J244" t="inlineStr">
        <is>
          <t>0</t>
        </is>
      </c>
      <c r="K244" t="inlineStr">
        <is>
          <t>Cox, Helen.</t>
        </is>
      </c>
      <c r="L244" t="inlineStr">
        <is>
          <t>Oxford] Pergamon General Books [1970]</t>
        </is>
      </c>
      <c r="M244" t="inlineStr">
        <is>
          <t>1970</t>
        </is>
      </c>
      <c r="N244" t="inlineStr">
        <is>
          <t>[1st ed.</t>
        </is>
      </c>
      <c r="O244" t="inlineStr">
        <is>
          <t>eng</t>
        </is>
      </c>
      <c r="P244" t="inlineStr">
        <is>
          <t xml:space="preserve">xx </t>
        </is>
      </c>
      <c r="R244" t="inlineStr">
        <is>
          <t xml:space="preserve">TX </t>
        </is>
      </c>
      <c r="S244" t="n">
        <v>3</v>
      </c>
      <c r="T244" t="n">
        <v>3</v>
      </c>
      <c r="U244" t="inlineStr">
        <is>
          <t>2006-11-18</t>
        </is>
      </c>
      <c r="V244" t="inlineStr">
        <is>
          <t>2006-11-18</t>
        </is>
      </c>
      <c r="W244" t="inlineStr">
        <is>
          <t>1997-08-29</t>
        </is>
      </c>
      <c r="X244" t="inlineStr">
        <is>
          <t>1997-08-29</t>
        </is>
      </c>
      <c r="Y244" t="n">
        <v>64</v>
      </c>
      <c r="Z244" t="n">
        <v>58</v>
      </c>
      <c r="AA244" t="n">
        <v>59</v>
      </c>
      <c r="AB244" t="n">
        <v>3</v>
      </c>
      <c r="AC244" t="n">
        <v>3</v>
      </c>
      <c r="AD244" t="n">
        <v>3</v>
      </c>
      <c r="AE244" t="n">
        <v>3</v>
      </c>
      <c r="AF244" t="n">
        <v>0</v>
      </c>
      <c r="AG244" t="n">
        <v>0</v>
      </c>
      <c r="AH244" t="n">
        <v>1</v>
      </c>
      <c r="AI244" t="n">
        <v>1</v>
      </c>
      <c r="AJ244" t="n">
        <v>0</v>
      </c>
      <c r="AK244" t="n">
        <v>0</v>
      </c>
      <c r="AL244" t="n">
        <v>2</v>
      </c>
      <c r="AM244" t="n">
        <v>2</v>
      </c>
      <c r="AN244" t="n">
        <v>0</v>
      </c>
      <c r="AO244" t="n">
        <v>0</v>
      </c>
      <c r="AP244" t="inlineStr">
        <is>
          <t>No</t>
        </is>
      </c>
      <c r="AQ244" t="inlineStr">
        <is>
          <t>Yes</t>
        </is>
      </c>
      <c r="AR244">
        <f>HYPERLINK("http://catalog.hathitrust.org/Record/007583588","HathiTrust Record")</f>
        <v/>
      </c>
      <c r="AS244">
        <f>HYPERLINK("https://creighton-primo.hosted.exlibrisgroup.com/primo-explore/search?tab=default_tab&amp;search_scope=EVERYTHING&amp;vid=01CRU&amp;lang=en_US&amp;offset=0&amp;query=any,contains,991003193169702656","Catalog Record")</f>
        <v/>
      </c>
      <c r="AT244">
        <f>HYPERLINK("http://www.worldcat.org/oclc/718189","WorldCat Record")</f>
        <v/>
      </c>
      <c r="AU244" t="inlineStr">
        <is>
          <t>3770913851:eng</t>
        </is>
      </c>
      <c r="AV244" t="inlineStr">
        <is>
          <t>718189</t>
        </is>
      </c>
      <c r="AW244" t="inlineStr">
        <is>
          <t>991003193169702656</t>
        </is>
      </c>
      <c r="AX244" t="inlineStr">
        <is>
          <t>991003193169702656</t>
        </is>
      </c>
      <c r="AY244" t="inlineStr">
        <is>
          <t>2256337990002656</t>
        </is>
      </c>
      <c r="AZ244" t="inlineStr">
        <is>
          <t>BOOK</t>
        </is>
      </c>
      <c r="BC244" t="inlineStr">
        <is>
          <t>32285003120853</t>
        </is>
      </c>
      <c r="BD244" t="inlineStr">
        <is>
          <t>893686274</t>
        </is>
      </c>
    </row>
    <row r="245">
      <c r="A245" t="inlineStr">
        <is>
          <t>No</t>
        </is>
      </c>
      <c r="B245" t="inlineStr">
        <is>
          <t>TX733 .C68 1989</t>
        </is>
      </c>
      <c r="C245" t="inlineStr">
        <is>
          <t>0                      TX 0733000C  68          1989</t>
        </is>
      </c>
      <c r="D245" t="inlineStr">
        <is>
          <t>Country living country mornings cookbook / edited by Lucy Wing.</t>
        </is>
      </c>
      <c r="F245" t="inlineStr">
        <is>
          <t>No</t>
        </is>
      </c>
      <c r="G245" t="inlineStr">
        <is>
          <t>1</t>
        </is>
      </c>
      <c r="H245" t="inlineStr">
        <is>
          <t>No</t>
        </is>
      </c>
      <c r="I245" t="inlineStr">
        <is>
          <t>No</t>
        </is>
      </c>
      <c r="J245" t="inlineStr">
        <is>
          <t>0</t>
        </is>
      </c>
      <c r="L245" t="inlineStr">
        <is>
          <t>New York : Hearst Books, c1989.</t>
        </is>
      </c>
      <c r="M245" t="inlineStr">
        <is>
          <t>1989</t>
        </is>
      </c>
      <c r="N245" t="inlineStr">
        <is>
          <t>1st ed.</t>
        </is>
      </c>
      <c r="O245" t="inlineStr">
        <is>
          <t>eng</t>
        </is>
      </c>
      <c r="P245" t="inlineStr">
        <is>
          <t>nyu</t>
        </is>
      </c>
      <c r="R245" t="inlineStr">
        <is>
          <t xml:space="preserve">TX </t>
        </is>
      </c>
      <c r="S245" t="n">
        <v>9</v>
      </c>
      <c r="T245" t="n">
        <v>9</v>
      </c>
      <c r="U245" t="inlineStr">
        <is>
          <t>1997-02-23</t>
        </is>
      </c>
      <c r="V245" t="inlineStr">
        <is>
          <t>1997-02-23</t>
        </is>
      </c>
      <c r="W245" t="inlineStr">
        <is>
          <t>1991-08-28</t>
        </is>
      </c>
      <c r="X245" t="inlineStr">
        <is>
          <t>1991-08-28</t>
        </is>
      </c>
      <c r="Y245" t="n">
        <v>192</v>
      </c>
      <c r="Z245" t="n">
        <v>185</v>
      </c>
      <c r="AA245" t="n">
        <v>190</v>
      </c>
      <c r="AB245" t="n">
        <v>1</v>
      </c>
      <c r="AC245" t="n">
        <v>1</v>
      </c>
      <c r="AD245" t="n">
        <v>0</v>
      </c>
      <c r="AE245" t="n">
        <v>0</v>
      </c>
      <c r="AF245" t="n">
        <v>0</v>
      </c>
      <c r="AG245" t="n">
        <v>0</v>
      </c>
      <c r="AH245" t="n">
        <v>0</v>
      </c>
      <c r="AI245" t="n">
        <v>0</v>
      </c>
      <c r="AJ245" t="n">
        <v>0</v>
      </c>
      <c r="AK245" t="n">
        <v>0</v>
      </c>
      <c r="AL245" t="n">
        <v>0</v>
      </c>
      <c r="AM245" t="n">
        <v>0</v>
      </c>
      <c r="AN245" t="n">
        <v>0</v>
      </c>
      <c r="AO245" t="n">
        <v>0</v>
      </c>
      <c r="AP245" t="inlineStr">
        <is>
          <t>No</t>
        </is>
      </c>
      <c r="AQ245" t="inlineStr">
        <is>
          <t>No</t>
        </is>
      </c>
      <c r="AS245">
        <f>HYPERLINK("https://creighton-primo.hosted.exlibrisgroup.com/primo-explore/search?tab=default_tab&amp;search_scope=EVERYTHING&amp;vid=01CRU&amp;lang=en_US&amp;offset=0&amp;query=any,contains,991001489119702656","Catalog Record")</f>
        <v/>
      </c>
      <c r="AT245">
        <f>HYPERLINK("http://www.worldcat.org/oclc/19688022","WorldCat Record")</f>
        <v/>
      </c>
      <c r="AU245" t="inlineStr">
        <is>
          <t>18264335:eng</t>
        </is>
      </c>
      <c r="AV245" t="inlineStr">
        <is>
          <t>19688022</t>
        </is>
      </c>
      <c r="AW245" t="inlineStr">
        <is>
          <t>991001489119702656</t>
        </is>
      </c>
      <c r="AX245" t="inlineStr">
        <is>
          <t>991001489119702656</t>
        </is>
      </c>
      <c r="AY245" t="inlineStr">
        <is>
          <t>2265075920002656</t>
        </is>
      </c>
      <c r="AZ245" t="inlineStr">
        <is>
          <t>BOOK</t>
        </is>
      </c>
      <c r="BB245" t="inlineStr">
        <is>
          <t>9780688066390</t>
        </is>
      </c>
      <c r="BC245" t="inlineStr">
        <is>
          <t>32285000731405</t>
        </is>
      </c>
      <c r="BD245" t="inlineStr">
        <is>
          <t>893250274</t>
        </is>
      </c>
    </row>
    <row r="246">
      <c r="A246" t="inlineStr">
        <is>
          <t>No</t>
        </is>
      </c>
      <c r="B246" t="inlineStr">
        <is>
          <t>TX739.2.C45 C68 1990</t>
        </is>
      </c>
      <c r="C246" t="inlineStr">
        <is>
          <t>0                      TX 0739200C  45                 C  68          1990</t>
        </is>
      </c>
      <c r="D246" t="inlineStr">
        <is>
          <t>Country Christmas / Bo Niles ; with quotations from Jo Northrop.</t>
        </is>
      </c>
      <c r="F246" t="inlineStr">
        <is>
          <t>No</t>
        </is>
      </c>
      <c r="G246" t="inlineStr">
        <is>
          <t>1</t>
        </is>
      </c>
      <c r="H246" t="inlineStr">
        <is>
          <t>No</t>
        </is>
      </c>
      <c r="I246" t="inlineStr">
        <is>
          <t>No</t>
        </is>
      </c>
      <c r="J246" t="inlineStr">
        <is>
          <t>0</t>
        </is>
      </c>
      <c r="L246" t="inlineStr">
        <is>
          <t>New York : Hearst Books, c1990.</t>
        </is>
      </c>
      <c r="M246" t="inlineStr">
        <is>
          <t>1990</t>
        </is>
      </c>
      <c r="N246" t="inlineStr">
        <is>
          <t>1st ed.</t>
        </is>
      </c>
      <c r="O246" t="inlineStr">
        <is>
          <t>eng</t>
        </is>
      </c>
      <c r="P246" t="inlineStr">
        <is>
          <t>nyu</t>
        </is>
      </c>
      <c r="R246" t="inlineStr">
        <is>
          <t xml:space="preserve">TX </t>
        </is>
      </c>
      <c r="S246" t="n">
        <v>14</v>
      </c>
      <c r="T246" t="n">
        <v>14</v>
      </c>
      <c r="U246" t="inlineStr">
        <is>
          <t>1994-11-12</t>
        </is>
      </c>
      <c r="V246" t="inlineStr">
        <is>
          <t>1994-11-12</t>
        </is>
      </c>
      <c r="W246" t="inlineStr">
        <is>
          <t>1990-11-14</t>
        </is>
      </c>
      <c r="X246" t="inlineStr">
        <is>
          <t>1990-11-14</t>
        </is>
      </c>
      <c r="Y246" t="n">
        <v>520</v>
      </c>
      <c r="Z246" t="n">
        <v>494</v>
      </c>
      <c r="AA246" t="n">
        <v>499</v>
      </c>
      <c r="AB246" t="n">
        <v>4</v>
      </c>
      <c r="AC246" t="n">
        <v>4</v>
      </c>
      <c r="AD246" t="n">
        <v>0</v>
      </c>
      <c r="AE246" t="n">
        <v>0</v>
      </c>
      <c r="AF246" t="n">
        <v>0</v>
      </c>
      <c r="AG246" t="n">
        <v>0</v>
      </c>
      <c r="AH246" t="n">
        <v>0</v>
      </c>
      <c r="AI246" t="n">
        <v>0</v>
      </c>
      <c r="AJ246" t="n">
        <v>0</v>
      </c>
      <c r="AK246" t="n">
        <v>0</v>
      </c>
      <c r="AL246" t="n">
        <v>0</v>
      </c>
      <c r="AM246" t="n">
        <v>0</v>
      </c>
      <c r="AN246" t="n">
        <v>0</v>
      </c>
      <c r="AO246" t="n">
        <v>0</v>
      </c>
      <c r="AP246" t="inlineStr">
        <is>
          <t>No</t>
        </is>
      </c>
      <c r="AQ246" t="inlineStr">
        <is>
          <t>No</t>
        </is>
      </c>
      <c r="AS246">
        <f>HYPERLINK("https://creighton-primo.hosted.exlibrisgroup.com/primo-explore/search?tab=default_tab&amp;search_scope=EVERYTHING&amp;vid=01CRU&amp;lang=en_US&amp;offset=0&amp;query=any,contains,991001774539702656","Catalog Record")</f>
        <v/>
      </c>
      <c r="AT246">
        <f>HYPERLINK("http://www.worldcat.org/oclc/22708894","WorldCat Record")</f>
        <v/>
      </c>
      <c r="AU246" t="inlineStr">
        <is>
          <t>3943560143:eng</t>
        </is>
      </c>
      <c r="AV246" t="inlineStr">
        <is>
          <t>22708894</t>
        </is>
      </c>
      <c r="AW246" t="inlineStr">
        <is>
          <t>991001774539702656</t>
        </is>
      </c>
      <c r="AX246" t="inlineStr">
        <is>
          <t>991001774539702656</t>
        </is>
      </c>
      <c r="AY246" t="inlineStr">
        <is>
          <t>2269152220002656</t>
        </is>
      </c>
      <c r="AZ246" t="inlineStr">
        <is>
          <t>BOOK</t>
        </is>
      </c>
      <c r="BB246" t="inlineStr">
        <is>
          <t>9780688097387</t>
        </is>
      </c>
      <c r="BC246" t="inlineStr">
        <is>
          <t>32285000355197</t>
        </is>
      </c>
      <c r="BD246" t="inlineStr">
        <is>
          <t>893244405</t>
        </is>
      </c>
    </row>
    <row r="247">
      <c r="A247" t="inlineStr">
        <is>
          <t>No</t>
        </is>
      </c>
      <c r="B247" t="inlineStr">
        <is>
          <t>TX740 .S83</t>
        </is>
      </c>
      <c r="C247" t="inlineStr">
        <is>
          <t>0                      TX 0740000S  83</t>
        </is>
      </c>
      <c r="D247" t="inlineStr">
        <is>
          <t>The Sunset cook book : food with a gourmet touch / by the Sunset editorial staff. Illustrated by Earl Thollander. --</t>
        </is>
      </c>
      <c r="F247" t="inlineStr">
        <is>
          <t>No</t>
        </is>
      </c>
      <c r="G247" t="inlineStr">
        <is>
          <t>1</t>
        </is>
      </c>
      <c r="H247" t="inlineStr">
        <is>
          <t>No</t>
        </is>
      </c>
      <c r="I247" t="inlineStr">
        <is>
          <t>No</t>
        </is>
      </c>
      <c r="J247" t="inlineStr">
        <is>
          <t>0</t>
        </is>
      </c>
      <c r="K247" t="inlineStr">
        <is>
          <t>Sunset Editorial Staff.</t>
        </is>
      </c>
      <c r="L247" t="inlineStr">
        <is>
          <t>Menlo Park, Calif. : Lane Book Co., [1960]</t>
        </is>
      </c>
      <c r="M247" t="inlineStr">
        <is>
          <t>1960</t>
        </is>
      </c>
      <c r="N247" t="inlineStr">
        <is>
          <t>[1st ed.]</t>
        </is>
      </c>
      <c r="O247" t="inlineStr">
        <is>
          <t>eng</t>
        </is>
      </c>
      <c r="P247" t="inlineStr">
        <is>
          <t>cau</t>
        </is>
      </c>
      <c r="R247" t="inlineStr">
        <is>
          <t xml:space="preserve">TX </t>
        </is>
      </c>
      <c r="S247" t="n">
        <v>4</v>
      </c>
      <c r="T247" t="n">
        <v>4</v>
      </c>
      <c r="U247" t="inlineStr">
        <is>
          <t>1993-01-14</t>
        </is>
      </c>
      <c r="V247" t="inlineStr">
        <is>
          <t>1993-01-14</t>
        </is>
      </c>
      <c r="W247" t="inlineStr">
        <is>
          <t>1992-04-08</t>
        </is>
      </c>
      <c r="X247" t="inlineStr">
        <is>
          <t>1992-04-08</t>
        </is>
      </c>
      <c r="Y247" t="n">
        <v>161</v>
      </c>
      <c r="Z247" t="n">
        <v>154</v>
      </c>
      <c r="AA247" t="n">
        <v>158</v>
      </c>
      <c r="AB247" t="n">
        <v>3</v>
      </c>
      <c r="AC247" t="n">
        <v>3</v>
      </c>
      <c r="AD247" t="n">
        <v>2</v>
      </c>
      <c r="AE247" t="n">
        <v>2</v>
      </c>
      <c r="AF247" t="n">
        <v>1</v>
      </c>
      <c r="AG247" t="n">
        <v>1</v>
      </c>
      <c r="AH247" t="n">
        <v>0</v>
      </c>
      <c r="AI247" t="n">
        <v>0</v>
      </c>
      <c r="AJ247" t="n">
        <v>0</v>
      </c>
      <c r="AK247" t="n">
        <v>0</v>
      </c>
      <c r="AL247" t="n">
        <v>1</v>
      </c>
      <c r="AM247" t="n">
        <v>1</v>
      </c>
      <c r="AN247" t="n">
        <v>0</v>
      </c>
      <c r="AO247" t="n">
        <v>0</v>
      </c>
      <c r="AP247" t="inlineStr">
        <is>
          <t>No</t>
        </is>
      </c>
      <c r="AQ247" t="inlineStr">
        <is>
          <t>Yes</t>
        </is>
      </c>
      <c r="AR247">
        <f>HYPERLINK("http://catalog.hathitrust.org/Record/009158896","HathiTrust Record")</f>
        <v/>
      </c>
      <c r="AS247">
        <f>HYPERLINK("https://creighton-primo.hosted.exlibrisgroup.com/primo-explore/search?tab=default_tab&amp;search_scope=EVERYTHING&amp;vid=01CRU&amp;lang=en_US&amp;offset=0&amp;query=any,contains,991003754669702656","Catalog Record")</f>
        <v/>
      </c>
      <c r="AT247">
        <f>HYPERLINK("http://www.worldcat.org/oclc/1434167","WorldCat Record")</f>
        <v/>
      </c>
      <c r="AU247" t="inlineStr">
        <is>
          <t>22062557:eng</t>
        </is>
      </c>
      <c r="AV247" t="inlineStr">
        <is>
          <t>1434167</t>
        </is>
      </c>
      <c r="AW247" t="inlineStr">
        <is>
          <t>991003754669702656</t>
        </is>
      </c>
      <c r="AX247" t="inlineStr">
        <is>
          <t>991003754669702656</t>
        </is>
      </c>
      <c r="AY247" t="inlineStr">
        <is>
          <t>2269183510002656</t>
        </is>
      </c>
      <c r="AZ247" t="inlineStr">
        <is>
          <t>BOOK</t>
        </is>
      </c>
      <c r="BC247" t="inlineStr">
        <is>
          <t>32285001056679</t>
        </is>
      </c>
      <c r="BD247" t="inlineStr">
        <is>
          <t>893416747</t>
        </is>
      </c>
    </row>
    <row r="248">
      <c r="A248" t="inlineStr">
        <is>
          <t>No</t>
        </is>
      </c>
      <c r="B248" t="inlineStr">
        <is>
          <t>TX750 .P67 1979</t>
        </is>
      </c>
      <c r="C248" t="inlineStr">
        <is>
          <t>0                      TX 0750000P  67          1979</t>
        </is>
      </c>
      <c r="D248" t="inlineStr">
        <is>
          <t>Poultry / by the editors of Time-Life Books.</t>
        </is>
      </c>
      <c r="F248" t="inlineStr">
        <is>
          <t>No</t>
        </is>
      </c>
      <c r="G248" t="inlineStr">
        <is>
          <t>1</t>
        </is>
      </c>
      <c r="H248" t="inlineStr">
        <is>
          <t>No</t>
        </is>
      </c>
      <c r="I248" t="inlineStr">
        <is>
          <t>No</t>
        </is>
      </c>
      <c r="J248" t="inlineStr">
        <is>
          <t>0</t>
        </is>
      </c>
      <c r="L248" t="inlineStr">
        <is>
          <t>Alexandria, Va. : Time-Life Books, c1979.</t>
        </is>
      </c>
      <c r="M248" t="inlineStr">
        <is>
          <t>1979</t>
        </is>
      </c>
      <c r="O248" t="inlineStr">
        <is>
          <t>eng</t>
        </is>
      </c>
      <c r="P248" t="inlineStr">
        <is>
          <t>vau</t>
        </is>
      </c>
      <c r="Q248" t="inlineStr">
        <is>
          <t>The Good cook, techniques &amp; recipes</t>
        </is>
      </c>
      <c r="R248" t="inlineStr">
        <is>
          <t xml:space="preserve">TX </t>
        </is>
      </c>
      <c r="S248" t="n">
        <v>10</v>
      </c>
      <c r="T248" t="n">
        <v>10</v>
      </c>
      <c r="U248" t="inlineStr">
        <is>
          <t>1997-03-03</t>
        </is>
      </c>
      <c r="V248" t="inlineStr">
        <is>
          <t>1997-03-03</t>
        </is>
      </c>
      <c r="W248" t="inlineStr">
        <is>
          <t>1992-01-10</t>
        </is>
      </c>
      <c r="X248" t="inlineStr">
        <is>
          <t>1992-01-10</t>
        </is>
      </c>
      <c r="Y248" t="n">
        <v>610</v>
      </c>
      <c r="Z248" t="n">
        <v>571</v>
      </c>
      <c r="AA248" t="n">
        <v>626</v>
      </c>
      <c r="AB248" t="n">
        <v>4</v>
      </c>
      <c r="AC248" t="n">
        <v>4</v>
      </c>
      <c r="AD248" t="n">
        <v>1</v>
      </c>
      <c r="AE248" t="n">
        <v>3</v>
      </c>
      <c r="AF248" t="n">
        <v>0</v>
      </c>
      <c r="AG248" t="n">
        <v>1</v>
      </c>
      <c r="AH248" t="n">
        <v>0</v>
      </c>
      <c r="AI248" t="n">
        <v>1</v>
      </c>
      <c r="AJ248" t="n">
        <v>0</v>
      </c>
      <c r="AK248" t="n">
        <v>0</v>
      </c>
      <c r="AL248" t="n">
        <v>1</v>
      </c>
      <c r="AM248" t="n">
        <v>1</v>
      </c>
      <c r="AN248" t="n">
        <v>0</v>
      </c>
      <c r="AO248" t="n">
        <v>0</v>
      </c>
      <c r="AP248" t="inlineStr">
        <is>
          <t>No</t>
        </is>
      </c>
      <c r="AQ248" t="inlineStr">
        <is>
          <t>Yes</t>
        </is>
      </c>
      <c r="AR248">
        <f>HYPERLINK("http://catalog.hathitrust.org/Record/009158930","HathiTrust Record")</f>
        <v/>
      </c>
      <c r="AS248">
        <f>HYPERLINK("https://creighton-primo.hosted.exlibrisgroup.com/primo-explore/search?tab=default_tab&amp;search_scope=EVERYTHING&amp;vid=01CRU&amp;lang=en_US&amp;offset=0&amp;query=any,contains,991004593979702656","Catalog Record")</f>
        <v/>
      </c>
      <c r="AT248">
        <f>HYPERLINK("http://www.worldcat.org/oclc/4135999","WorldCat Record")</f>
        <v/>
      </c>
      <c r="AU248" t="inlineStr">
        <is>
          <t>54237031:eng</t>
        </is>
      </c>
      <c r="AV248" t="inlineStr">
        <is>
          <t>4135999</t>
        </is>
      </c>
      <c r="AW248" t="inlineStr">
        <is>
          <t>991004593979702656</t>
        </is>
      </c>
      <c r="AX248" t="inlineStr">
        <is>
          <t>991004593979702656</t>
        </is>
      </c>
      <c r="AY248" t="inlineStr">
        <is>
          <t>2254840960002656</t>
        </is>
      </c>
      <c r="AZ248" t="inlineStr">
        <is>
          <t>BOOK</t>
        </is>
      </c>
      <c r="BB248" t="inlineStr">
        <is>
          <t>9780809428557</t>
        </is>
      </c>
      <c r="BC248" t="inlineStr">
        <is>
          <t>32285000912328</t>
        </is>
      </c>
      <c r="BD248" t="inlineStr">
        <is>
          <t>893532571</t>
        </is>
      </c>
    </row>
    <row r="249">
      <c r="A249" t="inlineStr">
        <is>
          <t>No</t>
        </is>
      </c>
      <c r="B249" t="inlineStr">
        <is>
          <t>TX757 .T37 1972</t>
        </is>
      </c>
      <c r="C249" t="inlineStr">
        <is>
          <t>0                      TX 0757000T  37          1972</t>
        </is>
      </c>
      <c r="D249" t="inlineStr">
        <is>
          <t>The New York times bread and soup cookbook / Yvonne Young Tarr.</t>
        </is>
      </c>
      <c r="F249" t="inlineStr">
        <is>
          <t>No</t>
        </is>
      </c>
      <c r="G249" t="inlineStr">
        <is>
          <t>1</t>
        </is>
      </c>
      <c r="H249" t="inlineStr">
        <is>
          <t>No</t>
        </is>
      </c>
      <c r="I249" t="inlineStr">
        <is>
          <t>No</t>
        </is>
      </c>
      <c r="J249" t="inlineStr">
        <is>
          <t>0</t>
        </is>
      </c>
      <c r="K249" t="inlineStr">
        <is>
          <t>Tarr, Yvonne Young.</t>
        </is>
      </c>
      <c r="L249" t="inlineStr">
        <is>
          <t>New York : Quadrangle/Times Books, [1972]</t>
        </is>
      </c>
      <c r="M249" t="inlineStr">
        <is>
          <t>1972</t>
        </is>
      </c>
      <c r="O249" t="inlineStr">
        <is>
          <t>eng</t>
        </is>
      </c>
      <c r="P249" t="inlineStr">
        <is>
          <t>nyu</t>
        </is>
      </c>
      <c r="R249" t="inlineStr">
        <is>
          <t xml:space="preserve">TX </t>
        </is>
      </c>
      <c r="S249" t="n">
        <v>8</v>
      </c>
      <c r="T249" t="n">
        <v>8</v>
      </c>
      <c r="U249" t="inlineStr">
        <is>
          <t>2000-12-19</t>
        </is>
      </c>
      <c r="V249" t="inlineStr">
        <is>
          <t>2000-12-19</t>
        </is>
      </c>
      <c r="W249" t="inlineStr">
        <is>
          <t>1990-02-06</t>
        </is>
      </c>
      <c r="X249" t="inlineStr">
        <is>
          <t>1990-02-06</t>
        </is>
      </c>
      <c r="Y249" t="n">
        <v>305</v>
      </c>
      <c r="Z249" t="n">
        <v>299</v>
      </c>
      <c r="AA249" t="n">
        <v>380</v>
      </c>
      <c r="AB249" t="n">
        <v>4</v>
      </c>
      <c r="AC249" t="n">
        <v>5</v>
      </c>
      <c r="AD249" t="n">
        <v>2</v>
      </c>
      <c r="AE249" t="n">
        <v>5</v>
      </c>
      <c r="AF249" t="n">
        <v>1</v>
      </c>
      <c r="AG249" t="n">
        <v>2</v>
      </c>
      <c r="AH249" t="n">
        <v>0</v>
      </c>
      <c r="AI249" t="n">
        <v>1</v>
      </c>
      <c r="AJ249" t="n">
        <v>0</v>
      </c>
      <c r="AK249" t="n">
        <v>0</v>
      </c>
      <c r="AL249" t="n">
        <v>1</v>
      </c>
      <c r="AM249" t="n">
        <v>2</v>
      </c>
      <c r="AN249" t="n">
        <v>0</v>
      </c>
      <c r="AO249" t="n">
        <v>0</v>
      </c>
      <c r="AP249" t="inlineStr">
        <is>
          <t>No</t>
        </is>
      </c>
      <c r="AQ249" t="inlineStr">
        <is>
          <t>Yes</t>
        </is>
      </c>
      <c r="AR249">
        <f>HYPERLINK("http://catalog.hathitrust.org/Record/010746489","HathiTrust Record")</f>
        <v/>
      </c>
      <c r="AS249">
        <f>HYPERLINK("https://creighton-primo.hosted.exlibrisgroup.com/primo-explore/search?tab=default_tab&amp;search_scope=EVERYTHING&amp;vid=01CRU&amp;lang=en_US&amp;offset=0&amp;query=any,contains,991002937289702656","Catalog Record")</f>
        <v/>
      </c>
      <c r="AT249">
        <f>HYPERLINK("http://www.worldcat.org/oclc/533747","WorldCat Record")</f>
        <v/>
      </c>
      <c r="AU249" t="inlineStr">
        <is>
          <t>1553287:eng</t>
        </is>
      </c>
      <c r="AV249" t="inlineStr">
        <is>
          <t>533747</t>
        </is>
      </c>
      <c r="AW249" t="inlineStr">
        <is>
          <t>991002937289702656</t>
        </is>
      </c>
      <c r="AX249" t="inlineStr">
        <is>
          <t>991002937289702656</t>
        </is>
      </c>
      <c r="AY249" t="inlineStr">
        <is>
          <t>2264276820002656</t>
        </is>
      </c>
      <c r="AZ249" t="inlineStr">
        <is>
          <t>BOOK</t>
        </is>
      </c>
      <c r="BB249" t="inlineStr">
        <is>
          <t>9780812902914</t>
        </is>
      </c>
      <c r="BC249" t="inlineStr">
        <is>
          <t>32285000006832</t>
        </is>
      </c>
      <c r="BD249" t="inlineStr">
        <is>
          <t>893434480</t>
        </is>
      </c>
    </row>
    <row r="250">
      <c r="A250" t="inlineStr">
        <is>
          <t>No</t>
        </is>
      </c>
      <c r="B250" t="inlineStr">
        <is>
          <t>TX763 .N33 1990</t>
        </is>
      </c>
      <c r="C250" t="inlineStr">
        <is>
          <t>0                      TX 0763000N  33          1990</t>
        </is>
      </c>
      <c r="D250" t="inlineStr">
        <is>
          <t>Biscuits, spoonbread, and sweet potato pie / by Bill Neal.</t>
        </is>
      </c>
      <c r="F250" t="inlineStr">
        <is>
          <t>No</t>
        </is>
      </c>
      <c r="G250" t="inlineStr">
        <is>
          <t>1</t>
        </is>
      </c>
      <c r="H250" t="inlineStr">
        <is>
          <t>No</t>
        </is>
      </c>
      <c r="I250" t="inlineStr">
        <is>
          <t>No</t>
        </is>
      </c>
      <c r="J250" t="inlineStr">
        <is>
          <t>0</t>
        </is>
      </c>
      <c r="K250" t="inlineStr">
        <is>
          <t>Neal, Bill.</t>
        </is>
      </c>
      <c r="L250" t="inlineStr">
        <is>
          <t>New York : Knopf, 1990.</t>
        </is>
      </c>
      <c r="M250" t="inlineStr">
        <is>
          <t>1990</t>
        </is>
      </c>
      <c r="N250" t="inlineStr">
        <is>
          <t>1st ed.</t>
        </is>
      </c>
      <c r="O250" t="inlineStr">
        <is>
          <t>eng</t>
        </is>
      </c>
      <c r="P250" t="inlineStr">
        <is>
          <t>nyu</t>
        </is>
      </c>
      <c r="Q250" t="inlineStr">
        <is>
          <t>Knopf cooks American series ; 2</t>
        </is>
      </c>
      <c r="R250" t="inlineStr">
        <is>
          <t xml:space="preserve">TX </t>
        </is>
      </c>
      <c r="S250" t="n">
        <v>6</v>
      </c>
      <c r="T250" t="n">
        <v>6</v>
      </c>
      <c r="U250" t="inlineStr">
        <is>
          <t>1997-08-04</t>
        </is>
      </c>
      <c r="V250" t="inlineStr">
        <is>
          <t>1997-08-04</t>
        </is>
      </c>
      <c r="W250" t="inlineStr">
        <is>
          <t>1990-08-08</t>
        </is>
      </c>
      <c r="X250" t="inlineStr">
        <is>
          <t>1990-08-08</t>
        </is>
      </c>
      <c r="Y250" t="n">
        <v>566</v>
      </c>
      <c r="Z250" t="n">
        <v>553</v>
      </c>
      <c r="AA250" t="n">
        <v>674</v>
      </c>
      <c r="AB250" t="n">
        <v>2</v>
      </c>
      <c r="AC250" t="n">
        <v>3</v>
      </c>
      <c r="AD250" t="n">
        <v>1</v>
      </c>
      <c r="AE250" t="n">
        <v>4</v>
      </c>
      <c r="AF250" t="n">
        <v>0</v>
      </c>
      <c r="AG250" t="n">
        <v>2</v>
      </c>
      <c r="AH250" t="n">
        <v>1</v>
      </c>
      <c r="AI250" t="n">
        <v>1</v>
      </c>
      <c r="AJ250" t="n">
        <v>0</v>
      </c>
      <c r="AK250" t="n">
        <v>1</v>
      </c>
      <c r="AL250" t="n">
        <v>0</v>
      </c>
      <c r="AM250" t="n">
        <v>1</v>
      </c>
      <c r="AN250" t="n">
        <v>0</v>
      </c>
      <c r="AO250" t="n">
        <v>0</v>
      </c>
      <c r="AP250" t="inlineStr">
        <is>
          <t>No</t>
        </is>
      </c>
      <c r="AQ250" t="inlineStr">
        <is>
          <t>Yes</t>
        </is>
      </c>
      <c r="AR250">
        <f>HYPERLINK("http://catalog.hathitrust.org/Record/101911728","HathiTrust Record")</f>
        <v/>
      </c>
      <c r="AS250">
        <f>HYPERLINK("https://creighton-primo.hosted.exlibrisgroup.com/primo-explore/search?tab=default_tab&amp;search_scope=EVERYTHING&amp;vid=01CRU&amp;lang=en_US&amp;offset=0&amp;query=any,contains,991001490049702656","Catalog Record")</f>
        <v/>
      </c>
      <c r="AT250">
        <f>HYPERLINK("http://www.worldcat.org/oclc/19722160","WorldCat Record")</f>
        <v/>
      </c>
      <c r="AU250" t="inlineStr">
        <is>
          <t>8364372:eng</t>
        </is>
      </c>
      <c r="AV250" t="inlineStr">
        <is>
          <t>19722160</t>
        </is>
      </c>
      <c r="AW250" t="inlineStr">
        <is>
          <t>991001490049702656</t>
        </is>
      </c>
      <c r="AX250" t="inlineStr">
        <is>
          <t>991001490049702656</t>
        </is>
      </c>
      <c r="AY250" t="inlineStr">
        <is>
          <t>2258528840002656</t>
        </is>
      </c>
      <c r="AZ250" t="inlineStr">
        <is>
          <t>BOOK</t>
        </is>
      </c>
      <c r="BB250" t="inlineStr">
        <is>
          <t>9780394559414</t>
        </is>
      </c>
      <c r="BC250" t="inlineStr">
        <is>
          <t>32285000242882</t>
        </is>
      </c>
      <c r="BD250" t="inlineStr">
        <is>
          <t>893621422</t>
        </is>
      </c>
    </row>
    <row r="251">
      <c r="A251" t="inlineStr">
        <is>
          <t>No</t>
        </is>
      </c>
      <c r="B251" t="inlineStr">
        <is>
          <t>TX771 .B458 1988</t>
        </is>
      </c>
      <c r="C251" t="inlineStr">
        <is>
          <t>0                      TX 0771000B  458         1988</t>
        </is>
      </c>
      <c r="D251" t="inlineStr">
        <is>
          <t>The cake bible / Rose Levy Beranbaum ; edited by Maria D. Guarnaschelli ; photographs by Vincent Lee ; book design by Richard Oriolo ; food styling by Rose Levy Beranbaum ; line drawings by Dean Bornstein ; foreword by Maida Heatter.</t>
        </is>
      </c>
      <c r="F251" t="inlineStr">
        <is>
          <t>No</t>
        </is>
      </c>
      <c r="G251" t="inlineStr">
        <is>
          <t>1</t>
        </is>
      </c>
      <c r="H251" t="inlineStr">
        <is>
          <t>No</t>
        </is>
      </c>
      <c r="I251" t="inlineStr">
        <is>
          <t>No</t>
        </is>
      </c>
      <c r="J251" t="inlineStr">
        <is>
          <t>0</t>
        </is>
      </c>
      <c r="K251" t="inlineStr">
        <is>
          <t>Beranbaum, Rose Levy.</t>
        </is>
      </c>
      <c r="L251" t="inlineStr">
        <is>
          <t>New York : W. Morrow, 1988.</t>
        </is>
      </c>
      <c r="M251" t="inlineStr">
        <is>
          <t>1988</t>
        </is>
      </c>
      <c r="N251" t="inlineStr">
        <is>
          <t>1st ed.</t>
        </is>
      </c>
      <c r="O251" t="inlineStr">
        <is>
          <t>eng</t>
        </is>
      </c>
      <c r="P251" t="inlineStr">
        <is>
          <t>nyu</t>
        </is>
      </c>
      <c r="R251" t="inlineStr">
        <is>
          <t xml:space="preserve">TX </t>
        </is>
      </c>
      <c r="S251" t="n">
        <v>13</v>
      </c>
      <c r="T251" t="n">
        <v>13</v>
      </c>
      <c r="U251" t="inlineStr">
        <is>
          <t>2010-05-03</t>
        </is>
      </c>
      <c r="V251" t="inlineStr">
        <is>
          <t>2010-05-03</t>
        </is>
      </c>
      <c r="W251" t="inlineStr">
        <is>
          <t>1991-12-09</t>
        </is>
      </c>
      <c r="X251" t="inlineStr">
        <is>
          <t>1991-12-09</t>
        </is>
      </c>
      <c r="Y251" t="n">
        <v>1314</v>
      </c>
      <c r="Z251" t="n">
        <v>1250</v>
      </c>
      <c r="AA251" t="n">
        <v>1269</v>
      </c>
      <c r="AB251" t="n">
        <v>10</v>
      </c>
      <c r="AC251" t="n">
        <v>10</v>
      </c>
      <c r="AD251" t="n">
        <v>1</v>
      </c>
      <c r="AE251" t="n">
        <v>1</v>
      </c>
      <c r="AF251" t="n">
        <v>0</v>
      </c>
      <c r="AG251" t="n">
        <v>0</v>
      </c>
      <c r="AH251" t="n">
        <v>0</v>
      </c>
      <c r="AI251" t="n">
        <v>0</v>
      </c>
      <c r="AJ251" t="n">
        <v>0</v>
      </c>
      <c r="AK251" t="n">
        <v>0</v>
      </c>
      <c r="AL251" t="n">
        <v>1</v>
      </c>
      <c r="AM251" t="n">
        <v>1</v>
      </c>
      <c r="AN251" t="n">
        <v>0</v>
      </c>
      <c r="AO251" t="n">
        <v>0</v>
      </c>
      <c r="AP251" t="inlineStr">
        <is>
          <t>No</t>
        </is>
      </c>
      <c r="AQ251" t="inlineStr">
        <is>
          <t>No</t>
        </is>
      </c>
      <c r="AS251">
        <f>HYPERLINK("https://creighton-primo.hosted.exlibrisgroup.com/primo-explore/search?tab=default_tab&amp;search_scope=EVERYTHING&amp;vid=01CRU&amp;lang=en_US&amp;offset=0&amp;query=any,contains,991001217479702656","Catalog Record")</f>
        <v/>
      </c>
      <c r="AT251">
        <f>HYPERLINK("http://www.worldcat.org/oclc/17439640","WorldCat Record")</f>
        <v/>
      </c>
      <c r="AU251" t="inlineStr">
        <is>
          <t>16040524:eng</t>
        </is>
      </c>
      <c r="AV251" t="inlineStr">
        <is>
          <t>17439640</t>
        </is>
      </c>
      <c r="AW251" t="inlineStr">
        <is>
          <t>991001217479702656</t>
        </is>
      </c>
      <c r="AX251" t="inlineStr">
        <is>
          <t>991001217479702656</t>
        </is>
      </c>
      <c r="AY251" t="inlineStr">
        <is>
          <t>2265813360002656</t>
        </is>
      </c>
      <c r="AZ251" t="inlineStr">
        <is>
          <t>BOOK</t>
        </is>
      </c>
      <c r="BB251" t="inlineStr">
        <is>
          <t>9780688044022</t>
        </is>
      </c>
      <c r="BC251" t="inlineStr">
        <is>
          <t>32285000829738</t>
        </is>
      </c>
      <c r="BD251" t="inlineStr">
        <is>
          <t>893596293</t>
        </is>
      </c>
    </row>
    <row r="252">
      <c r="A252" t="inlineStr">
        <is>
          <t>No</t>
        </is>
      </c>
      <c r="B252" t="inlineStr">
        <is>
          <t>TX820 .R5 1939</t>
        </is>
      </c>
      <c r="C252" t="inlineStr">
        <is>
          <t>0                      TX 0820000R  5           1939</t>
        </is>
      </c>
      <c r="D252" t="inlineStr">
        <is>
          <t>Quantity cookery; menu planning and cookery for large numbers, by Nola treat and Lenore Richards...</t>
        </is>
      </c>
      <c r="F252" t="inlineStr">
        <is>
          <t>No</t>
        </is>
      </c>
      <c r="G252" t="inlineStr">
        <is>
          <t>1</t>
        </is>
      </c>
      <c r="H252" t="inlineStr">
        <is>
          <t>No</t>
        </is>
      </c>
      <c r="I252" t="inlineStr">
        <is>
          <t>No</t>
        </is>
      </c>
      <c r="J252" t="inlineStr">
        <is>
          <t>0</t>
        </is>
      </c>
      <c r="K252" t="inlineStr">
        <is>
          <t>Richards, Lenore.</t>
        </is>
      </c>
      <c r="L252" t="inlineStr">
        <is>
          <t>Boston Little, Brown and company 1939</t>
        </is>
      </c>
      <c r="M252" t="inlineStr">
        <is>
          <t>1939</t>
        </is>
      </c>
      <c r="N252" t="inlineStr">
        <is>
          <t>Completely rev. ed.</t>
        </is>
      </c>
      <c r="O252" t="inlineStr">
        <is>
          <t>eng</t>
        </is>
      </c>
      <c r="P252" t="inlineStr">
        <is>
          <t xml:space="preserve">xx </t>
        </is>
      </c>
      <c r="R252" t="inlineStr">
        <is>
          <t xml:space="preserve">TX </t>
        </is>
      </c>
      <c r="S252" t="n">
        <v>5</v>
      </c>
      <c r="T252" t="n">
        <v>5</v>
      </c>
      <c r="U252" t="inlineStr">
        <is>
          <t>1999-12-14</t>
        </is>
      </c>
      <c r="V252" t="inlineStr">
        <is>
          <t>1999-12-14</t>
        </is>
      </c>
      <c r="W252" t="inlineStr">
        <is>
          <t>1997-08-29</t>
        </is>
      </c>
      <c r="X252" t="inlineStr">
        <is>
          <t>1997-08-29</t>
        </is>
      </c>
      <c r="Y252" t="n">
        <v>78</v>
      </c>
      <c r="Z252" t="n">
        <v>75</v>
      </c>
      <c r="AA252" t="n">
        <v>497</v>
      </c>
      <c r="AB252" t="n">
        <v>1</v>
      </c>
      <c r="AC252" t="n">
        <v>3</v>
      </c>
      <c r="AD252" t="n">
        <v>0</v>
      </c>
      <c r="AE252" t="n">
        <v>6</v>
      </c>
      <c r="AF252" t="n">
        <v>0</v>
      </c>
      <c r="AG252" t="n">
        <v>2</v>
      </c>
      <c r="AH252" t="n">
        <v>0</v>
      </c>
      <c r="AI252" t="n">
        <v>2</v>
      </c>
      <c r="AJ252" t="n">
        <v>0</v>
      </c>
      <c r="AK252" t="n">
        <v>0</v>
      </c>
      <c r="AL252" t="n">
        <v>0</v>
      </c>
      <c r="AM252" t="n">
        <v>2</v>
      </c>
      <c r="AN252" t="n">
        <v>0</v>
      </c>
      <c r="AO252" t="n">
        <v>0</v>
      </c>
      <c r="AP252" t="inlineStr">
        <is>
          <t>No</t>
        </is>
      </c>
      <c r="AQ252" t="inlineStr">
        <is>
          <t>Yes</t>
        </is>
      </c>
      <c r="AR252">
        <f>HYPERLINK("http://catalog.hathitrust.org/Record/006772300","HathiTrust Record")</f>
        <v/>
      </c>
      <c r="AS252">
        <f>HYPERLINK("https://creighton-primo.hosted.exlibrisgroup.com/primo-explore/search?tab=default_tab&amp;search_scope=EVERYTHING&amp;vid=01CRU&amp;lang=en_US&amp;offset=0&amp;query=any,contains,991003769539702656","Catalog Record")</f>
        <v/>
      </c>
      <c r="AT252">
        <f>HYPERLINK("http://www.worldcat.org/oclc/1467643","WorldCat Record")</f>
        <v/>
      </c>
      <c r="AU252" t="inlineStr">
        <is>
          <t>1791241310:eng</t>
        </is>
      </c>
      <c r="AV252" t="inlineStr">
        <is>
          <t>1467643</t>
        </is>
      </c>
      <c r="AW252" t="inlineStr">
        <is>
          <t>991003769539702656</t>
        </is>
      </c>
      <c r="AX252" t="inlineStr">
        <is>
          <t>991003769539702656</t>
        </is>
      </c>
      <c r="AY252" t="inlineStr">
        <is>
          <t>2261444410002656</t>
        </is>
      </c>
      <c r="AZ252" t="inlineStr">
        <is>
          <t>BOOK</t>
        </is>
      </c>
      <c r="BC252" t="inlineStr">
        <is>
          <t>32285003120861</t>
        </is>
      </c>
      <c r="BD252" t="inlineStr">
        <is>
          <t>893228437</t>
        </is>
      </c>
    </row>
    <row r="253">
      <c r="A253" t="inlineStr">
        <is>
          <t>No</t>
        </is>
      </c>
      <c r="B253" t="inlineStr">
        <is>
          <t>TX837 .L18 1972</t>
        </is>
      </c>
      <c r="C253" t="inlineStr">
        <is>
          <t>0                      TX 0837000L  18          1972</t>
        </is>
      </c>
      <c r="D253" t="inlineStr">
        <is>
          <t>The George Bernard Shaw vegetarian cook book in six acts : based on George Bernard Shaw's favorite recipes / book by Alice Laden. Edited and adapted by R. J. Minney.</t>
        </is>
      </c>
      <c r="F253" t="inlineStr">
        <is>
          <t>No</t>
        </is>
      </c>
      <c r="G253" t="inlineStr">
        <is>
          <t>1</t>
        </is>
      </c>
      <c r="H253" t="inlineStr">
        <is>
          <t>No</t>
        </is>
      </c>
      <c r="I253" t="inlineStr">
        <is>
          <t>No</t>
        </is>
      </c>
      <c r="J253" t="inlineStr">
        <is>
          <t>0</t>
        </is>
      </c>
      <c r="K253" t="inlineStr">
        <is>
          <t>Laden, Alice.</t>
        </is>
      </c>
      <c r="L253" t="inlineStr">
        <is>
          <t>New York : Taplinger Pub. Co., [1972, c1971]</t>
        </is>
      </c>
      <c r="M253" t="inlineStr">
        <is>
          <t>1972</t>
        </is>
      </c>
      <c r="O253" t="inlineStr">
        <is>
          <t>eng</t>
        </is>
      </c>
      <c r="P253" t="inlineStr">
        <is>
          <t>nyu</t>
        </is>
      </c>
      <c r="R253" t="inlineStr">
        <is>
          <t xml:space="preserve">TX </t>
        </is>
      </c>
      <c r="S253" t="n">
        <v>9</v>
      </c>
      <c r="T253" t="n">
        <v>9</v>
      </c>
      <c r="U253" t="inlineStr">
        <is>
          <t>2007-09-26</t>
        </is>
      </c>
      <c r="V253" t="inlineStr">
        <is>
          <t>2007-09-26</t>
        </is>
      </c>
      <c r="W253" t="inlineStr">
        <is>
          <t>1993-08-03</t>
        </is>
      </c>
      <c r="X253" t="inlineStr">
        <is>
          <t>1993-08-03</t>
        </is>
      </c>
      <c r="Y253" t="n">
        <v>116</v>
      </c>
      <c r="Z253" t="n">
        <v>109</v>
      </c>
      <c r="AA253" t="n">
        <v>109</v>
      </c>
      <c r="AB253" t="n">
        <v>2</v>
      </c>
      <c r="AC253" t="n">
        <v>2</v>
      </c>
      <c r="AD253" t="n">
        <v>2</v>
      </c>
      <c r="AE253" t="n">
        <v>2</v>
      </c>
      <c r="AF253" t="n">
        <v>0</v>
      </c>
      <c r="AG253" t="n">
        <v>0</v>
      </c>
      <c r="AH253" t="n">
        <v>0</v>
      </c>
      <c r="AI253" t="n">
        <v>0</v>
      </c>
      <c r="AJ253" t="n">
        <v>1</v>
      </c>
      <c r="AK253" t="n">
        <v>1</v>
      </c>
      <c r="AL253" t="n">
        <v>1</v>
      </c>
      <c r="AM253" t="n">
        <v>1</v>
      </c>
      <c r="AN253" t="n">
        <v>0</v>
      </c>
      <c r="AO253" t="n">
        <v>0</v>
      </c>
      <c r="AP253" t="inlineStr">
        <is>
          <t>No</t>
        </is>
      </c>
      <c r="AQ253" t="inlineStr">
        <is>
          <t>No</t>
        </is>
      </c>
      <c r="AS253">
        <f>HYPERLINK("https://creighton-primo.hosted.exlibrisgroup.com/primo-explore/search?tab=default_tab&amp;search_scope=EVERYTHING&amp;vid=01CRU&amp;lang=en_US&amp;offset=0&amp;query=any,contains,991002056609702656","Catalog Record")</f>
        <v/>
      </c>
      <c r="AT253">
        <f>HYPERLINK("http://www.worldcat.org/oclc/262281","WorldCat Record")</f>
        <v/>
      </c>
      <c r="AU253" t="inlineStr">
        <is>
          <t>4417420700:eng</t>
        </is>
      </c>
      <c r="AV253" t="inlineStr">
        <is>
          <t>262281</t>
        </is>
      </c>
      <c r="AW253" t="inlineStr">
        <is>
          <t>991002056609702656</t>
        </is>
      </c>
      <c r="AX253" t="inlineStr">
        <is>
          <t>991002056609702656</t>
        </is>
      </c>
      <c r="AY253" t="inlineStr">
        <is>
          <t>2266791590002656</t>
        </is>
      </c>
      <c r="AZ253" t="inlineStr">
        <is>
          <t>BOOK</t>
        </is>
      </c>
      <c r="BB253" t="inlineStr">
        <is>
          <t>9780800831950</t>
        </is>
      </c>
      <c r="BC253" t="inlineStr">
        <is>
          <t>32285001749380</t>
        </is>
      </c>
      <c r="BD253" t="inlineStr">
        <is>
          <t>893262060</t>
        </is>
      </c>
    </row>
    <row r="254">
      <c r="A254" t="inlineStr">
        <is>
          <t>No</t>
        </is>
      </c>
      <c r="B254" t="inlineStr">
        <is>
          <t>TX840.C5 L3 1976</t>
        </is>
      </c>
      <c r="C254" t="inlineStr">
        <is>
          <t>0                      TX 0840000C  5                  L  3           1976</t>
        </is>
      </c>
      <c r="D254" t="inlineStr">
        <is>
          <t>Feed me! I'm yours : a recipe book for mothers : delicious, nutritious &amp; fun things to cook up for your kids / [by Vicki Lansky] ; ill. by Pat Seitz.</t>
        </is>
      </c>
      <c r="F254" t="inlineStr">
        <is>
          <t>No</t>
        </is>
      </c>
      <c r="G254" t="inlineStr">
        <is>
          <t>1</t>
        </is>
      </c>
      <c r="H254" t="inlineStr">
        <is>
          <t>No</t>
        </is>
      </c>
      <c r="I254" t="inlineStr">
        <is>
          <t>No</t>
        </is>
      </c>
      <c r="J254" t="inlineStr">
        <is>
          <t>0</t>
        </is>
      </c>
      <c r="K254" t="inlineStr">
        <is>
          <t>Lansky, Vicki.</t>
        </is>
      </c>
      <c r="L254" t="inlineStr">
        <is>
          <t>Wayzata, Minn. : Meadowbrook Press, 1976, c1974.</t>
        </is>
      </c>
      <c r="M254" t="inlineStr">
        <is>
          <t>1976</t>
        </is>
      </c>
      <c r="O254" t="inlineStr">
        <is>
          <t>eng</t>
        </is>
      </c>
      <c r="P254" t="inlineStr">
        <is>
          <t>mnu</t>
        </is>
      </c>
      <c r="R254" t="inlineStr">
        <is>
          <t xml:space="preserve">TX </t>
        </is>
      </c>
      <c r="S254" t="n">
        <v>4</v>
      </c>
      <c r="T254" t="n">
        <v>4</v>
      </c>
      <c r="U254" t="inlineStr">
        <is>
          <t>1997-03-03</t>
        </is>
      </c>
      <c r="V254" t="inlineStr">
        <is>
          <t>1997-03-03</t>
        </is>
      </c>
      <c r="W254" t="inlineStr">
        <is>
          <t>1995-11-28</t>
        </is>
      </c>
      <c r="X254" t="inlineStr">
        <is>
          <t>1995-11-28</t>
        </is>
      </c>
      <c r="Y254" t="n">
        <v>40</v>
      </c>
      <c r="Z254" t="n">
        <v>39</v>
      </c>
      <c r="AA254" t="n">
        <v>255</v>
      </c>
      <c r="AB254" t="n">
        <v>1</v>
      </c>
      <c r="AC254" t="n">
        <v>7</v>
      </c>
      <c r="AD254" t="n">
        <v>0</v>
      </c>
      <c r="AE254" t="n">
        <v>1</v>
      </c>
      <c r="AF254" t="n">
        <v>0</v>
      </c>
      <c r="AG254" t="n">
        <v>1</v>
      </c>
      <c r="AH254" t="n">
        <v>0</v>
      </c>
      <c r="AI254" t="n">
        <v>0</v>
      </c>
      <c r="AJ254" t="n">
        <v>0</v>
      </c>
      <c r="AK254" t="n">
        <v>0</v>
      </c>
      <c r="AL254" t="n">
        <v>0</v>
      </c>
      <c r="AM254" t="n">
        <v>0</v>
      </c>
      <c r="AN254" t="n">
        <v>0</v>
      </c>
      <c r="AO254" t="n">
        <v>0</v>
      </c>
      <c r="AP254" t="inlineStr">
        <is>
          <t>No</t>
        </is>
      </c>
      <c r="AQ254" t="inlineStr">
        <is>
          <t>No</t>
        </is>
      </c>
      <c r="AS254">
        <f>HYPERLINK("https://creighton-primo.hosted.exlibrisgroup.com/primo-explore/search?tab=default_tab&amp;search_scope=EVERYTHING&amp;vid=01CRU&amp;lang=en_US&amp;offset=0&amp;query=any,contains,991004271919702656","Catalog Record")</f>
        <v/>
      </c>
      <c r="AT254">
        <f>HYPERLINK("http://www.worldcat.org/oclc/2880186","WorldCat Record")</f>
        <v/>
      </c>
      <c r="AU254" t="inlineStr">
        <is>
          <t>4903910:eng</t>
        </is>
      </c>
      <c r="AV254" t="inlineStr">
        <is>
          <t>2880186</t>
        </is>
      </c>
      <c r="AW254" t="inlineStr">
        <is>
          <t>991004271919702656</t>
        </is>
      </c>
      <c r="AX254" t="inlineStr">
        <is>
          <t>991004271919702656</t>
        </is>
      </c>
      <c r="AY254" t="inlineStr">
        <is>
          <t>2271972200002656</t>
        </is>
      </c>
      <c r="AZ254" t="inlineStr">
        <is>
          <t>BOOK</t>
        </is>
      </c>
      <c r="BB254" t="inlineStr">
        <is>
          <t>9780915658015</t>
        </is>
      </c>
      <c r="BC254" t="inlineStr">
        <is>
          <t>32285002120094</t>
        </is>
      </c>
      <c r="BD254" t="inlineStr">
        <is>
          <t>893894777</t>
        </is>
      </c>
    </row>
    <row r="255">
      <c r="A255" t="inlineStr">
        <is>
          <t>No</t>
        </is>
      </c>
      <c r="B255" t="inlineStr">
        <is>
          <t>TX907.2 .R44 2000</t>
        </is>
      </c>
      <c r="C255" t="inlineStr">
        <is>
          <t>0                      TX 0907200R  44          2000</t>
        </is>
      </c>
      <c r="D255" t="inlineStr">
        <is>
          <t>A guide to monastic guest houses / Robert J. Regalbuto.</t>
        </is>
      </c>
      <c r="F255" t="inlineStr">
        <is>
          <t>No</t>
        </is>
      </c>
      <c r="G255" t="inlineStr">
        <is>
          <t>1</t>
        </is>
      </c>
      <c r="H255" t="inlineStr">
        <is>
          <t>No</t>
        </is>
      </c>
      <c r="I255" t="inlineStr">
        <is>
          <t>No</t>
        </is>
      </c>
      <c r="J255" t="inlineStr">
        <is>
          <t>0</t>
        </is>
      </c>
      <c r="K255" t="inlineStr">
        <is>
          <t>Regalbuto, Robert J.</t>
        </is>
      </c>
      <c r="L255" t="inlineStr">
        <is>
          <t>Harrisburg, Pa. : Morehouse Pub., c2000.</t>
        </is>
      </c>
      <c r="M255" t="inlineStr">
        <is>
          <t>2000</t>
        </is>
      </c>
      <c r="N255" t="inlineStr">
        <is>
          <t>4th ed.</t>
        </is>
      </c>
      <c r="O255" t="inlineStr">
        <is>
          <t>eng</t>
        </is>
      </c>
      <c r="P255" t="inlineStr">
        <is>
          <t>pau</t>
        </is>
      </c>
      <c r="R255" t="inlineStr">
        <is>
          <t xml:space="preserve">TX </t>
        </is>
      </c>
      <c r="S255" t="n">
        <v>4</v>
      </c>
      <c r="T255" t="n">
        <v>4</v>
      </c>
      <c r="U255" t="inlineStr">
        <is>
          <t>2009-06-21</t>
        </is>
      </c>
      <c r="V255" t="inlineStr">
        <is>
          <t>2009-06-21</t>
        </is>
      </c>
      <c r="W255" t="inlineStr">
        <is>
          <t>2001-01-17</t>
        </is>
      </c>
      <c r="X255" t="inlineStr">
        <is>
          <t>2001-01-17</t>
        </is>
      </c>
      <c r="Y255" t="n">
        <v>80</v>
      </c>
      <c r="Z255" t="n">
        <v>77</v>
      </c>
      <c r="AA255" t="n">
        <v>208</v>
      </c>
      <c r="AB255" t="n">
        <v>1</v>
      </c>
      <c r="AC255" t="n">
        <v>1</v>
      </c>
      <c r="AD255" t="n">
        <v>0</v>
      </c>
      <c r="AE255" t="n">
        <v>4</v>
      </c>
      <c r="AF255" t="n">
        <v>0</v>
      </c>
      <c r="AG255" t="n">
        <v>1</v>
      </c>
      <c r="AH255" t="n">
        <v>0</v>
      </c>
      <c r="AI255" t="n">
        <v>2</v>
      </c>
      <c r="AJ255" t="n">
        <v>0</v>
      </c>
      <c r="AK255" t="n">
        <v>1</v>
      </c>
      <c r="AL255" t="n">
        <v>0</v>
      </c>
      <c r="AM255" t="n">
        <v>0</v>
      </c>
      <c r="AN255" t="n">
        <v>0</v>
      </c>
      <c r="AO255" t="n">
        <v>0</v>
      </c>
      <c r="AP255" t="inlineStr">
        <is>
          <t>No</t>
        </is>
      </c>
      <c r="AQ255" t="inlineStr">
        <is>
          <t>No</t>
        </is>
      </c>
      <c r="AS255">
        <f>HYPERLINK("https://creighton-primo.hosted.exlibrisgroup.com/primo-explore/search?tab=default_tab&amp;search_scope=EVERYTHING&amp;vid=01CRU&amp;lang=en_US&amp;offset=0&amp;query=any,contains,991003350409702656","Catalog Record")</f>
        <v/>
      </c>
      <c r="AT255">
        <f>HYPERLINK("http://www.worldcat.org/oclc/44592668","WorldCat Record")</f>
        <v/>
      </c>
      <c r="AU255" t="inlineStr">
        <is>
          <t>51618:eng</t>
        </is>
      </c>
      <c r="AV255" t="inlineStr">
        <is>
          <t>44592668</t>
        </is>
      </c>
      <c r="AW255" t="inlineStr">
        <is>
          <t>991003350409702656</t>
        </is>
      </c>
      <c r="AX255" t="inlineStr">
        <is>
          <t>991003350409702656</t>
        </is>
      </c>
      <c r="AY255" t="inlineStr">
        <is>
          <t>2268945460002656</t>
        </is>
      </c>
      <c r="AZ255" t="inlineStr">
        <is>
          <t>BOOK</t>
        </is>
      </c>
      <c r="BB255" t="inlineStr">
        <is>
          <t>9780819218483</t>
        </is>
      </c>
      <c r="BC255" t="inlineStr">
        <is>
          <t>32285004284799</t>
        </is>
      </c>
      <c r="BD255" t="inlineStr">
        <is>
          <t>893604709</t>
        </is>
      </c>
    </row>
    <row r="256">
      <c r="A256" t="inlineStr">
        <is>
          <t>No</t>
        </is>
      </c>
      <c r="B256" t="inlineStr">
        <is>
          <t>TX909 .S53 1976</t>
        </is>
      </c>
      <c r="C256" t="inlineStr">
        <is>
          <t>0                      TX 0909000S  53          1976</t>
        </is>
      </c>
      <c r="D256" t="inlineStr">
        <is>
          <t>The city at the end of the rainbow : San Francisco and its grand hotels / by David Siefkin.</t>
        </is>
      </c>
      <c r="F256" t="inlineStr">
        <is>
          <t>No</t>
        </is>
      </c>
      <c r="G256" t="inlineStr">
        <is>
          <t>1</t>
        </is>
      </c>
      <c r="H256" t="inlineStr">
        <is>
          <t>No</t>
        </is>
      </c>
      <c r="I256" t="inlineStr">
        <is>
          <t>No</t>
        </is>
      </c>
      <c r="J256" t="inlineStr">
        <is>
          <t>0</t>
        </is>
      </c>
      <c r="K256" t="inlineStr">
        <is>
          <t>Siefkin, David.</t>
        </is>
      </c>
      <c r="L256" t="inlineStr">
        <is>
          <t>New York : Putnam, c1976.</t>
        </is>
      </c>
      <c r="M256" t="inlineStr">
        <is>
          <t>1976</t>
        </is>
      </c>
      <c r="O256" t="inlineStr">
        <is>
          <t>eng</t>
        </is>
      </c>
      <c r="P256" t="inlineStr">
        <is>
          <t>nyu</t>
        </is>
      </c>
      <c r="R256" t="inlineStr">
        <is>
          <t xml:space="preserve">TX </t>
        </is>
      </c>
      <c r="S256" t="n">
        <v>3</v>
      </c>
      <c r="T256" t="n">
        <v>3</v>
      </c>
      <c r="U256" t="inlineStr">
        <is>
          <t>2009-09-22</t>
        </is>
      </c>
      <c r="V256" t="inlineStr">
        <is>
          <t>2009-09-22</t>
        </is>
      </c>
      <c r="W256" t="inlineStr">
        <is>
          <t>1993-08-03</t>
        </is>
      </c>
      <c r="X256" t="inlineStr">
        <is>
          <t>1993-08-03</t>
        </is>
      </c>
      <c r="Y256" t="n">
        <v>189</v>
      </c>
      <c r="Z256" t="n">
        <v>183</v>
      </c>
      <c r="AA256" t="n">
        <v>188</v>
      </c>
      <c r="AB256" t="n">
        <v>1</v>
      </c>
      <c r="AC256" t="n">
        <v>1</v>
      </c>
      <c r="AD256" t="n">
        <v>3</v>
      </c>
      <c r="AE256" t="n">
        <v>3</v>
      </c>
      <c r="AF256" t="n">
        <v>1</v>
      </c>
      <c r="AG256" t="n">
        <v>1</v>
      </c>
      <c r="AH256" t="n">
        <v>0</v>
      </c>
      <c r="AI256" t="n">
        <v>0</v>
      </c>
      <c r="AJ256" t="n">
        <v>3</v>
      </c>
      <c r="AK256" t="n">
        <v>3</v>
      </c>
      <c r="AL256" t="n">
        <v>0</v>
      </c>
      <c r="AM256" t="n">
        <v>0</v>
      </c>
      <c r="AN256" t="n">
        <v>0</v>
      </c>
      <c r="AO256" t="n">
        <v>0</v>
      </c>
      <c r="AP256" t="inlineStr">
        <is>
          <t>No</t>
        </is>
      </c>
      <c r="AQ256" t="inlineStr">
        <is>
          <t>No</t>
        </is>
      </c>
      <c r="AS256">
        <f>HYPERLINK("https://creighton-primo.hosted.exlibrisgroup.com/primo-explore/search?tab=default_tab&amp;search_scope=EVERYTHING&amp;vid=01CRU&amp;lang=en_US&amp;offset=0&amp;query=any,contains,991003963999702656","Catalog Record")</f>
        <v/>
      </c>
      <c r="AT256">
        <f>HYPERLINK("http://www.worldcat.org/oclc/1976898","WorldCat Record")</f>
        <v/>
      </c>
      <c r="AU256" t="inlineStr">
        <is>
          <t>2753184:eng</t>
        </is>
      </c>
      <c r="AV256" t="inlineStr">
        <is>
          <t>1976898</t>
        </is>
      </c>
      <c r="AW256" t="inlineStr">
        <is>
          <t>991003963999702656</t>
        </is>
      </c>
      <c r="AX256" t="inlineStr">
        <is>
          <t>991003963999702656</t>
        </is>
      </c>
      <c r="AY256" t="inlineStr">
        <is>
          <t>2268641900002656</t>
        </is>
      </c>
      <c r="AZ256" t="inlineStr">
        <is>
          <t>BOOK</t>
        </is>
      </c>
      <c r="BB256" t="inlineStr">
        <is>
          <t>9780399117428</t>
        </is>
      </c>
      <c r="BC256" t="inlineStr">
        <is>
          <t>32285001749406</t>
        </is>
      </c>
      <c r="BD256" t="inlineStr">
        <is>
          <t>893705841</t>
        </is>
      </c>
    </row>
    <row r="257">
      <c r="A257" t="inlineStr">
        <is>
          <t>No</t>
        </is>
      </c>
      <c r="B257" t="inlineStr">
        <is>
          <t>TX910.5.E65 D3</t>
        </is>
      </c>
      <c r="C257" t="inlineStr">
        <is>
          <t>0                      TX 0910500E  65                 D  3</t>
        </is>
      </c>
      <c r="D257" t="inlineStr">
        <is>
          <t>Eugene C. Eppley: his life and legacy.</t>
        </is>
      </c>
      <c r="F257" t="inlineStr">
        <is>
          <t>No</t>
        </is>
      </c>
      <c r="G257" t="inlineStr">
        <is>
          <t>1</t>
        </is>
      </c>
      <c r="H257" t="inlineStr">
        <is>
          <t>Yes</t>
        </is>
      </c>
      <c r="I257" t="inlineStr">
        <is>
          <t>No</t>
        </is>
      </c>
      <c r="J257" t="inlineStr">
        <is>
          <t>0</t>
        </is>
      </c>
      <c r="K257" t="inlineStr">
        <is>
          <t>Dalstrom, Harl A. (Harl Adams), 1936-</t>
        </is>
      </c>
      <c r="L257" t="inlineStr">
        <is>
          <t>Lincoln, Neb., Johnsen Pub. Co. [1969]</t>
        </is>
      </c>
      <c r="M257" t="inlineStr">
        <is>
          <t>1969</t>
        </is>
      </c>
      <c r="O257" t="inlineStr">
        <is>
          <t>eng</t>
        </is>
      </c>
      <c r="P257" t="inlineStr">
        <is>
          <t>nbu</t>
        </is>
      </c>
      <c r="Q257" t="inlineStr">
        <is>
          <t>Nebraska heritage series</t>
        </is>
      </c>
      <c r="R257" t="inlineStr">
        <is>
          <t xml:space="preserve">TX </t>
        </is>
      </c>
      <c r="S257" t="n">
        <v>2</v>
      </c>
      <c r="T257" t="n">
        <v>2</v>
      </c>
      <c r="U257" t="inlineStr">
        <is>
          <t>1999-06-26</t>
        </is>
      </c>
      <c r="V257" t="inlineStr">
        <is>
          <t>1999-06-26</t>
        </is>
      </c>
      <c r="W257" t="inlineStr">
        <is>
          <t>1997-08-29</t>
        </is>
      </c>
      <c r="X257" t="inlineStr">
        <is>
          <t>1997-08-29</t>
        </is>
      </c>
      <c r="Y257" t="n">
        <v>71</v>
      </c>
      <c r="Z257" t="n">
        <v>68</v>
      </c>
      <c r="AA257" t="n">
        <v>68</v>
      </c>
      <c r="AB257" t="n">
        <v>24</v>
      </c>
      <c r="AC257" t="n">
        <v>24</v>
      </c>
      <c r="AD257" t="n">
        <v>12</v>
      </c>
      <c r="AE257" t="n">
        <v>12</v>
      </c>
      <c r="AF257" t="n">
        <v>0</v>
      </c>
      <c r="AG257" t="n">
        <v>0</v>
      </c>
      <c r="AH257" t="n">
        <v>0</v>
      </c>
      <c r="AI257" t="n">
        <v>0</v>
      </c>
      <c r="AJ257" t="n">
        <v>0</v>
      </c>
      <c r="AK257" t="n">
        <v>0</v>
      </c>
      <c r="AL257" t="n">
        <v>12</v>
      </c>
      <c r="AM257" t="n">
        <v>12</v>
      </c>
      <c r="AN257" t="n">
        <v>0</v>
      </c>
      <c r="AO257" t="n">
        <v>0</v>
      </c>
      <c r="AP257" t="inlineStr">
        <is>
          <t>No</t>
        </is>
      </c>
      <c r="AQ257" t="inlineStr">
        <is>
          <t>No</t>
        </is>
      </c>
      <c r="AS257">
        <f>HYPERLINK("https://creighton-primo.hosted.exlibrisgroup.com/primo-explore/search?tab=default_tab&amp;search_scope=EVERYTHING&amp;vid=01CRU&amp;lang=en_US&amp;offset=0&amp;query=any,contains,991001668419702656","Catalog Record")</f>
        <v/>
      </c>
      <c r="AT257">
        <f>HYPERLINK("http://www.worldcat.org/oclc/61769","WorldCat Record")</f>
        <v/>
      </c>
      <c r="AU257" t="inlineStr">
        <is>
          <t>1223681:eng</t>
        </is>
      </c>
      <c r="AV257" t="inlineStr">
        <is>
          <t>61769</t>
        </is>
      </c>
      <c r="AW257" t="inlineStr">
        <is>
          <t>991001668419702656</t>
        </is>
      </c>
      <c r="AX257" t="inlineStr">
        <is>
          <t>991001668419702656</t>
        </is>
      </c>
      <c r="AY257" t="inlineStr">
        <is>
          <t>2255148370002656</t>
        </is>
      </c>
      <c r="AZ257" t="inlineStr">
        <is>
          <t>BOOK</t>
        </is>
      </c>
      <c r="BC257" t="inlineStr">
        <is>
          <t>32285003120903</t>
        </is>
      </c>
      <c r="BD257" t="inlineStr">
        <is>
          <t>893891713</t>
        </is>
      </c>
    </row>
    <row r="258">
      <c r="A258" t="inlineStr">
        <is>
          <t>No</t>
        </is>
      </c>
      <c r="B258" t="inlineStr">
        <is>
          <t>TX910.5.K76 A34 1977</t>
        </is>
      </c>
      <c r="C258" t="inlineStr">
        <is>
          <t>0                      TX 0910500K  76                 A  34          1977</t>
        </is>
      </c>
      <c r="D258" t="inlineStr">
        <is>
          <t>Grinding it out : the making of McDonald's / Ray Kroc, with Robert Anderson.</t>
        </is>
      </c>
      <c r="F258" t="inlineStr">
        <is>
          <t>No</t>
        </is>
      </c>
      <c r="G258" t="inlineStr">
        <is>
          <t>1</t>
        </is>
      </c>
      <c r="H258" t="inlineStr">
        <is>
          <t>No</t>
        </is>
      </c>
      <c r="I258" t="inlineStr">
        <is>
          <t>No</t>
        </is>
      </c>
      <c r="J258" t="inlineStr">
        <is>
          <t>0</t>
        </is>
      </c>
      <c r="K258" t="inlineStr">
        <is>
          <t>Kroc, Ray, 1902-1984.</t>
        </is>
      </c>
      <c r="L258" t="inlineStr">
        <is>
          <t>Chicago : H. Regnery, c1977.</t>
        </is>
      </c>
      <c r="M258" t="inlineStr">
        <is>
          <t>1977</t>
        </is>
      </c>
      <c r="O258" t="inlineStr">
        <is>
          <t>eng</t>
        </is>
      </c>
      <c r="P258" t="inlineStr">
        <is>
          <t>ilu</t>
        </is>
      </c>
      <c r="R258" t="inlineStr">
        <is>
          <t xml:space="preserve">TX </t>
        </is>
      </c>
      <c r="S258" t="n">
        <v>25</v>
      </c>
      <c r="T258" t="n">
        <v>25</v>
      </c>
      <c r="U258" t="inlineStr">
        <is>
          <t>2010-09-02</t>
        </is>
      </c>
      <c r="V258" t="inlineStr">
        <is>
          <t>2010-09-02</t>
        </is>
      </c>
      <c r="W258" t="inlineStr">
        <is>
          <t>1990-04-17</t>
        </is>
      </c>
      <c r="X258" t="inlineStr">
        <is>
          <t>1990-04-17</t>
        </is>
      </c>
      <c r="Y258" t="n">
        <v>746</v>
      </c>
      <c r="Z258" t="n">
        <v>713</v>
      </c>
      <c r="AA258" t="n">
        <v>1141</v>
      </c>
      <c r="AB258" t="n">
        <v>6</v>
      </c>
      <c r="AC258" t="n">
        <v>11</v>
      </c>
      <c r="AD258" t="n">
        <v>12</v>
      </c>
      <c r="AE258" t="n">
        <v>22</v>
      </c>
      <c r="AF258" t="n">
        <v>5</v>
      </c>
      <c r="AG258" t="n">
        <v>9</v>
      </c>
      <c r="AH258" t="n">
        <v>3</v>
      </c>
      <c r="AI258" t="n">
        <v>5</v>
      </c>
      <c r="AJ258" t="n">
        <v>6</v>
      </c>
      <c r="AK258" t="n">
        <v>7</v>
      </c>
      <c r="AL258" t="n">
        <v>1</v>
      </c>
      <c r="AM258" t="n">
        <v>6</v>
      </c>
      <c r="AN258" t="n">
        <v>0</v>
      </c>
      <c r="AO258" t="n">
        <v>0</v>
      </c>
      <c r="AP258" t="inlineStr">
        <is>
          <t>No</t>
        </is>
      </c>
      <c r="AQ258" t="inlineStr">
        <is>
          <t>No</t>
        </is>
      </c>
      <c r="AS258">
        <f>HYPERLINK("https://creighton-primo.hosted.exlibrisgroup.com/primo-explore/search?tab=default_tab&amp;search_scope=EVERYTHING&amp;vid=01CRU&amp;lang=en_US&amp;offset=0&amp;query=any,contains,991004198989702656","Catalog Record")</f>
        <v/>
      </c>
      <c r="AT258">
        <f>HYPERLINK("http://www.worldcat.org/oclc/2646393","WorldCat Record")</f>
        <v/>
      </c>
      <c r="AU258" t="inlineStr">
        <is>
          <t>285051704:eng</t>
        </is>
      </c>
      <c r="AV258" t="inlineStr">
        <is>
          <t>2646393</t>
        </is>
      </c>
      <c r="AW258" t="inlineStr">
        <is>
          <t>991004198989702656</t>
        </is>
      </c>
      <c r="AX258" t="inlineStr">
        <is>
          <t>991004198989702656</t>
        </is>
      </c>
      <c r="AY258" t="inlineStr">
        <is>
          <t>2255197510002656</t>
        </is>
      </c>
      <c r="AZ258" t="inlineStr">
        <is>
          <t>BOOK</t>
        </is>
      </c>
      <c r="BB258" t="inlineStr">
        <is>
          <t>9780809282593</t>
        </is>
      </c>
      <c r="BC258" t="inlineStr">
        <is>
          <t>32285000122720</t>
        </is>
      </c>
      <c r="BD258" t="inlineStr">
        <is>
          <t>893712269</t>
        </is>
      </c>
    </row>
    <row r="259">
      <c r="A259" t="inlineStr">
        <is>
          <t>No</t>
        </is>
      </c>
      <c r="B259" t="inlineStr">
        <is>
          <t>TX910.F8 C45</t>
        </is>
      </c>
      <c r="C259" t="inlineStr">
        <is>
          <t>0                      TX 0910000F  8                  C  45</t>
        </is>
      </c>
      <c r="D259" t="inlineStr">
        <is>
          <t>Bouquet de France, an epicurean tour of the French provinces. Recipes translated from the French and adapted by Narcissa Chamberlain. Illustrated and designed by the author.</t>
        </is>
      </c>
      <c r="F259" t="inlineStr">
        <is>
          <t>No</t>
        </is>
      </c>
      <c r="G259" t="inlineStr">
        <is>
          <t>1</t>
        </is>
      </c>
      <c r="H259" t="inlineStr">
        <is>
          <t>No</t>
        </is>
      </c>
      <c r="I259" t="inlineStr">
        <is>
          <t>No</t>
        </is>
      </c>
      <c r="J259" t="inlineStr">
        <is>
          <t>0</t>
        </is>
      </c>
      <c r="K259" t="inlineStr">
        <is>
          <t>Chamberlain, Samuel, 1895-1975.</t>
        </is>
      </c>
      <c r="L259" t="inlineStr">
        <is>
          <t>[New York] Gourmet [1952]</t>
        </is>
      </c>
      <c r="M259" t="inlineStr">
        <is>
          <t>1952</t>
        </is>
      </c>
      <c r="O259" t="inlineStr">
        <is>
          <t>eng</t>
        </is>
      </c>
      <c r="P259" t="inlineStr">
        <is>
          <t>___</t>
        </is>
      </c>
      <c r="R259" t="inlineStr">
        <is>
          <t xml:space="preserve">TX </t>
        </is>
      </c>
      <c r="S259" t="n">
        <v>4</v>
      </c>
      <c r="T259" t="n">
        <v>4</v>
      </c>
      <c r="U259" t="inlineStr">
        <is>
          <t>2007-11-25</t>
        </is>
      </c>
      <c r="V259" t="inlineStr">
        <is>
          <t>2007-11-25</t>
        </is>
      </c>
      <c r="W259" t="inlineStr">
        <is>
          <t>1993-08-03</t>
        </is>
      </c>
      <c r="X259" t="inlineStr">
        <is>
          <t>1993-08-03</t>
        </is>
      </c>
      <c r="Y259" t="n">
        <v>216</v>
      </c>
      <c r="Z259" t="n">
        <v>192</v>
      </c>
      <c r="AA259" t="n">
        <v>336</v>
      </c>
      <c r="AB259" t="n">
        <v>2</v>
      </c>
      <c r="AC259" t="n">
        <v>2</v>
      </c>
      <c r="AD259" t="n">
        <v>5</v>
      </c>
      <c r="AE259" t="n">
        <v>8</v>
      </c>
      <c r="AF259" t="n">
        <v>1</v>
      </c>
      <c r="AG259" t="n">
        <v>3</v>
      </c>
      <c r="AH259" t="n">
        <v>0</v>
      </c>
      <c r="AI259" t="n">
        <v>1</v>
      </c>
      <c r="AJ259" t="n">
        <v>4</v>
      </c>
      <c r="AK259" t="n">
        <v>4</v>
      </c>
      <c r="AL259" t="n">
        <v>1</v>
      </c>
      <c r="AM259" t="n">
        <v>1</v>
      </c>
      <c r="AN259" t="n">
        <v>0</v>
      </c>
      <c r="AO259" t="n">
        <v>0</v>
      </c>
      <c r="AP259" t="inlineStr">
        <is>
          <t>No</t>
        </is>
      </c>
      <c r="AQ259" t="inlineStr">
        <is>
          <t>Yes</t>
        </is>
      </c>
      <c r="AR259">
        <f>HYPERLINK("http://catalog.hathitrust.org/Record/009055908","HathiTrust Record")</f>
        <v/>
      </c>
      <c r="AS259">
        <f>HYPERLINK("https://creighton-primo.hosted.exlibrisgroup.com/primo-explore/search?tab=default_tab&amp;search_scope=EVERYTHING&amp;vid=01CRU&amp;lang=en_US&amp;offset=0&amp;query=any,contains,991003768339702656","Catalog Record")</f>
        <v/>
      </c>
      <c r="AT259">
        <f>HYPERLINK("http://www.worldcat.org/oclc/1463436","WorldCat Record")</f>
        <v/>
      </c>
      <c r="AU259" t="inlineStr">
        <is>
          <t>196207983:eng</t>
        </is>
      </c>
      <c r="AV259" t="inlineStr">
        <is>
          <t>1463436</t>
        </is>
      </c>
      <c r="AW259" t="inlineStr">
        <is>
          <t>991003768339702656</t>
        </is>
      </c>
      <c r="AX259" t="inlineStr">
        <is>
          <t>991003768339702656</t>
        </is>
      </c>
      <c r="AY259" t="inlineStr">
        <is>
          <t>2259103910002656</t>
        </is>
      </c>
      <c r="AZ259" t="inlineStr">
        <is>
          <t>BOOK</t>
        </is>
      </c>
      <c r="BC259" t="inlineStr">
        <is>
          <t>32285001749414</t>
        </is>
      </c>
      <c r="BD259" t="inlineStr">
        <is>
          <t>893416772</t>
        </is>
      </c>
    </row>
    <row r="260">
      <c r="A260" t="inlineStr">
        <is>
          <t>No</t>
        </is>
      </c>
      <c r="B260" t="inlineStr">
        <is>
          <t>TX911.3.M27 S53 1980</t>
        </is>
      </c>
      <c r="C260" t="inlineStr">
        <is>
          <t>0                      TX 0911300M  27                 S  53          1980</t>
        </is>
      </c>
      <c r="D260" t="inlineStr">
        <is>
          <t>How to run a successful restaurant / William L. Siegel.</t>
        </is>
      </c>
      <c r="F260" t="inlineStr">
        <is>
          <t>No</t>
        </is>
      </c>
      <c r="G260" t="inlineStr">
        <is>
          <t>1</t>
        </is>
      </c>
      <c r="H260" t="inlineStr">
        <is>
          <t>No</t>
        </is>
      </c>
      <c r="I260" t="inlineStr">
        <is>
          <t>No</t>
        </is>
      </c>
      <c r="J260" t="inlineStr">
        <is>
          <t>0</t>
        </is>
      </c>
      <c r="K260" t="inlineStr">
        <is>
          <t>Siegel, William L. (William Laird), 1949-</t>
        </is>
      </c>
      <c r="L260" t="inlineStr">
        <is>
          <t>New York : Wiley, [1980] c1977.</t>
        </is>
      </c>
      <c r="M260" t="inlineStr">
        <is>
          <t>1980</t>
        </is>
      </c>
      <c r="O260" t="inlineStr">
        <is>
          <t>eng</t>
        </is>
      </c>
      <c r="P260" t="inlineStr">
        <is>
          <t>nyu</t>
        </is>
      </c>
      <c r="Q260" t="inlineStr">
        <is>
          <t>The Small business series</t>
        </is>
      </c>
      <c r="R260" t="inlineStr">
        <is>
          <t xml:space="preserve">TX </t>
        </is>
      </c>
      <c r="S260" t="n">
        <v>12</v>
      </c>
      <c r="T260" t="n">
        <v>12</v>
      </c>
      <c r="U260" t="inlineStr">
        <is>
          <t>2004-02-08</t>
        </is>
      </c>
      <c r="V260" t="inlineStr">
        <is>
          <t>2004-02-08</t>
        </is>
      </c>
      <c r="W260" t="inlineStr">
        <is>
          <t>1992-03-23</t>
        </is>
      </c>
      <c r="X260" t="inlineStr">
        <is>
          <t>1992-03-23</t>
        </is>
      </c>
      <c r="Y260" t="n">
        <v>159</v>
      </c>
      <c r="Z260" t="n">
        <v>126</v>
      </c>
      <c r="AA260" t="n">
        <v>259</v>
      </c>
      <c r="AB260" t="n">
        <v>2</v>
      </c>
      <c r="AC260" t="n">
        <v>4</v>
      </c>
      <c r="AD260" t="n">
        <v>2</v>
      </c>
      <c r="AE260" t="n">
        <v>4</v>
      </c>
      <c r="AF260" t="n">
        <v>1</v>
      </c>
      <c r="AG260" t="n">
        <v>1</v>
      </c>
      <c r="AH260" t="n">
        <v>0</v>
      </c>
      <c r="AI260" t="n">
        <v>1</v>
      </c>
      <c r="AJ260" t="n">
        <v>1</v>
      </c>
      <c r="AK260" t="n">
        <v>2</v>
      </c>
      <c r="AL260" t="n">
        <v>0</v>
      </c>
      <c r="AM260" t="n">
        <v>1</v>
      </c>
      <c r="AN260" t="n">
        <v>0</v>
      </c>
      <c r="AO260" t="n">
        <v>0</v>
      </c>
      <c r="AP260" t="inlineStr">
        <is>
          <t>No</t>
        </is>
      </c>
      <c r="AQ260" t="inlineStr">
        <is>
          <t>Yes</t>
        </is>
      </c>
      <c r="AR260">
        <f>HYPERLINK("http://catalog.hathitrust.org/Record/007994270","HathiTrust Record")</f>
        <v/>
      </c>
      <c r="AS260">
        <f>HYPERLINK("https://creighton-primo.hosted.exlibrisgroup.com/primo-explore/search?tab=default_tab&amp;search_scope=EVERYTHING&amp;vid=01CRU&amp;lang=en_US&amp;offset=0&amp;query=any,contains,991004873869702656","Catalog Record")</f>
        <v/>
      </c>
      <c r="AT260">
        <f>HYPERLINK("http://www.worldcat.org/oclc/5777115","WorldCat Record")</f>
        <v/>
      </c>
      <c r="AU260" t="inlineStr">
        <is>
          <t>489077:eng</t>
        </is>
      </c>
      <c r="AV260" t="inlineStr">
        <is>
          <t>5777115</t>
        </is>
      </c>
      <c r="AW260" t="inlineStr">
        <is>
          <t>991004873869702656</t>
        </is>
      </c>
      <c r="AX260" t="inlineStr">
        <is>
          <t>991004873869702656</t>
        </is>
      </c>
      <c r="AY260" t="inlineStr">
        <is>
          <t>2256286340002656</t>
        </is>
      </c>
      <c r="AZ260" t="inlineStr">
        <is>
          <t>BOOK</t>
        </is>
      </c>
      <c r="BB260" t="inlineStr">
        <is>
          <t>9780471079101</t>
        </is>
      </c>
      <c r="BC260" t="inlineStr">
        <is>
          <t>32285001026615</t>
        </is>
      </c>
      <c r="BD260" t="inlineStr">
        <is>
          <t>893424288</t>
        </is>
      </c>
    </row>
    <row r="261">
      <c r="A261" t="inlineStr">
        <is>
          <t>No</t>
        </is>
      </c>
      <c r="B261" t="inlineStr">
        <is>
          <t>TX911.3.M27 Y82 1999</t>
        </is>
      </c>
      <c r="C261" t="inlineStr">
        <is>
          <t>0                      TX 0911300M  27                 Y  82          1999</t>
        </is>
      </c>
      <c r="D261" t="inlineStr">
        <is>
          <t>The international hospitality business : management and operations / Larry Yu.</t>
        </is>
      </c>
      <c r="F261" t="inlineStr">
        <is>
          <t>No</t>
        </is>
      </c>
      <c r="G261" t="inlineStr">
        <is>
          <t>1</t>
        </is>
      </c>
      <c r="H261" t="inlineStr">
        <is>
          <t>No</t>
        </is>
      </c>
      <c r="I261" t="inlineStr">
        <is>
          <t>No</t>
        </is>
      </c>
      <c r="J261" t="inlineStr">
        <is>
          <t>0</t>
        </is>
      </c>
      <c r="K261" t="inlineStr">
        <is>
          <t>Yu, Lawrence.</t>
        </is>
      </c>
      <c r="L261" t="inlineStr">
        <is>
          <t>New York : Haworth Press, c1999.</t>
        </is>
      </c>
      <c r="M261" t="inlineStr">
        <is>
          <t>1999</t>
        </is>
      </c>
      <c r="O261" t="inlineStr">
        <is>
          <t>eng</t>
        </is>
      </c>
      <c r="P261" t="inlineStr">
        <is>
          <t>nyu</t>
        </is>
      </c>
      <c r="R261" t="inlineStr">
        <is>
          <t xml:space="preserve">TX </t>
        </is>
      </c>
      <c r="S261" t="n">
        <v>3</v>
      </c>
      <c r="T261" t="n">
        <v>3</v>
      </c>
      <c r="U261" t="inlineStr">
        <is>
          <t>2008-05-08</t>
        </is>
      </c>
      <c r="V261" t="inlineStr">
        <is>
          <t>2008-05-08</t>
        </is>
      </c>
      <c r="W261" t="inlineStr">
        <is>
          <t>2001-03-05</t>
        </is>
      </c>
      <c r="X261" t="inlineStr">
        <is>
          <t>2001-03-05</t>
        </is>
      </c>
      <c r="Y261" t="n">
        <v>287</v>
      </c>
      <c r="Z261" t="n">
        <v>212</v>
      </c>
      <c r="AA261" t="n">
        <v>286</v>
      </c>
      <c r="AB261" t="n">
        <v>2</v>
      </c>
      <c r="AC261" t="n">
        <v>2</v>
      </c>
      <c r="AD261" t="n">
        <v>9</v>
      </c>
      <c r="AE261" t="n">
        <v>9</v>
      </c>
      <c r="AF261" t="n">
        <v>5</v>
      </c>
      <c r="AG261" t="n">
        <v>5</v>
      </c>
      <c r="AH261" t="n">
        <v>2</v>
      </c>
      <c r="AI261" t="n">
        <v>2</v>
      </c>
      <c r="AJ261" t="n">
        <v>5</v>
      </c>
      <c r="AK261" t="n">
        <v>5</v>
      </c>
      <c r="AL261" t="n">
        <v>1</v>
      </c>
      <c r="AM261" t="n">
        <v>1</v>
      </c>
      <c r="AN261" t="n">
        <v>0</v>
      </c>
      <c r="AO261" t="n">
        <v>0</v>
      </c>
      <c r="AP261" t="inlineStr">
        <is>
          <t>No</t>
        </is>
      </c>
      <c r="AQ261" t="inlineStr">
        <is>
          <t>No</t>
        </is>
      </c>
      <c r="AS261">
        <f>HYPERLINK("https://creighton-primo.hosted.exlibrisgroup.com/primo-explore/search?tab=default_tab&amp;search_scope=EVERYTHING&amp;vid=01CRU&amp;lang=en_US&amp;offset=0&amp;query=any,contains,991003476679702656","Catalog Record")</f>
        <v/>
      </c>
      <c r="AT261">
        <f>HYPERLINK("http://www.worldcat.org/oclc/40159131","WorldCat Record")</f>
        <v/>
      </c>
      <c r="AU261" t="inlineStr">
        <is>
          <t>2745320:eng</t>
        </is>
      </c>
      <c r="AV261" t="inlineStr">
        <is>
          <t>40159131</t>
        </is>
      </c>
      <c r="AW261" t="inlineStr">
        <is>
          <t>991003476679702656</t>
        </is>
      </c>
      <c r="AX261" t="inlineStr">
        <is>
          <t>991003476679702656</t>
        </is>
      </c>
      <c r="AY261" t="inlineStr">
        <is>
          <t>2261441850002656</t>
        </is>
      </c>
      <c r="AZ261" t="inlineStr">
        <is>
          <t>BOOK</t>
        </is>
      </c>
      <c r="BB261" t="inlineStr">
        <is>
          <t>9780789005595</t>
        </is>
      </c>
      <c r="BC261" t="inlineStr">
        <is>
          <t>32285004299219</t>
        </is>
      </c>
      <c r="BD261" t="inlineStr">
        <is>
          <t>893611080</t>
        </is>
      </c>
    </row>
    <row r="262">
      <c r="A262" t="inlineStr">
        <is>
          <t>No</t>
        </is>
      </c>
      <c r="B262" t="inlineStr">
        <is>
          <t>TX943 .E82 1979</t>
        </is>
      </c>
      <c r="C262" t="inlineStr">
        <is>
          <t>0                      TX 0943000E  82          1979</t>
        </is>
      </c>
      <c r="D262" t="inlineStr">
        <is>
          <t>Foodservice management / Charles E. Eshbach.</t>
        </is>
      </c>
      <c r="F262" t="inlineStr">
        <is>
          <t>No</t>
        </is>
      </c>
      <c r="G262" t="inlineStr">
        <is>
          <t>1</t>
        </is>
      </c>
      <c r="H262" t="inlineStr">
        <is>
          <t>No</t>
        </is>
      </c>
      <c r="I262" t="inlineStr">
        <is>
          <t>No</t>
        </is>
      </c>
      <c r="J262" t="inlineStr">
        <is>
          <t>0</t>
        </is>
      </c>
      <c r="K262" t="inlineStr">
        <is>
          <t>Eshbach, Charles E., 1914-</t>
        </is>
      </c>
      <c r="L262" t="inlineStr">
        <is>
          <t>Boston : CBI Pub. Co., c1979.</t>
        </is>
      </c>
      <c r="M262" t="inlineStr">
        <is>
          <t>1979</t>
        </is>
      </c>
      <c r="N262" t="inlineStr">
        <is>
          <t>3d ed.</t>
        </is>
      </c>
      <c r="O262" t="inlineStr">
        <is>
          <t>eng</t>
        </is>
      </c>
      <c r="P262" t="inlineStr">
        <is>
          <t>mau</t>
        </is>
      </c>
      <c r="R262" t="inlineStr">
        <is>
          <t xml:space="preserve">TX </t>
        </is>
      </c>
      <c r="S262" t="n">
        <v>4</v>
      </c>
      <c r="T262" t="n">
        <v>4</v>
      </c>
      <c r="U262" t="inlineStr">
        <is>
          <t>2004-03-16</t>
        </is>
      </c>
      <c r="V262" t="inlineStr">
        <is>
          <t>2004-03-16</t>
        </is>
      </c>
      <c r="W262" t="inlineStr">
        <is>
          <t>1993-08-03</t>
        </is>
      </c>
      <c r="X262" t="inlineStr">
        <is>
          <t>1993-08-03</t>
        </is>
      </c>
      <c r="Y262" t="n">
        <v>148</v>
      </c>
      <c r="Z262" t="n">
        <v>125</v>
      </c>
      <c r="AA262" t="n">
        <v>213</v>
      </c>
      <c r="AB262" t="n">
        <v>3</v>
      </c>
      <c r="AC262" t="n">
        <v>4</v>
      </c>
      <c r="AD262" t="n">
        <v>3</v>
      </c>
      <c r="AE262" t="n">
        <v>4</v>
      </c>
      <c r="AF262" t="n">
        <v>1</v>
      </c>
      <c r="AG262" t="n">
        <v>1</v>
      </c>
      <c r="AH262" t="n">
        <v>0</v>
      </c>
      <c r="AI262" t="n">
        <v>0</v>
      </c>
      <c r="AJ262" t="n">
        <v>0</v>
      </c>
      <c r="AK262" t="n">
        <v>1</v>
      </c>
      <c r="AL262" t="n">
        <v>2</v>
      </c>
      <c r="AM262" t="n">
        <v>2</v>
      </c>
      <c r="AN262" t="n">
        <v>0</v>
      </c>
      <c r="AO262" t="n">
        <v>0</v>
      </c>
      <c r="AP262" t="inlineStr">
        <is>
          <t>No</t>
        </is>
      </c>
      <c r="AQ262" t="inlineStr">
        <is>
          <t>No</t>
        </is>
      </c>
      <c r="AS262">
        <f>HYPERLINK("https://creighton-primo.hosted.exlibrisgroup.com/primo-explore/search?tab=default_tab&amp;search_scope=EVERYTHING&amp;vid=01CRU&amp;lang=en_US&amp;offset=0&amp;query=any,contains,991004825689702656","Catalog Record")</f>
        <v/>
      </c>
      <c r="AT262">
        <f>HYPERLINK("http://www.worldcat.org/oclc/5353412","WorldCat Record")</f>
        <v/>
      </c>
      <c r="AU262" t="inlineStr">
        <is>
          <t>5247103:eng</t>
        </is>
      </c>
      <c r="AV262" t="inlineStr">
        <is>
          <t>5353412</t>
        </is>
      </c>
      <c r="AW262" t="inlineStr">
        <is>
          <t>991004825689702656</t>
        </is>
      </c>
      <c r="AX262" t="inlineStr">
        <is>
          <t>991004825689702656</t>
        </is>
      </c>
      <c r="AY262" t="inlineStr">
        <is>
          <t>2257592780002656</t>
        </is>
      </c>
      <c r="AZ262" t="inlineStr">
        <is>
          <t>BOOK</t>
        </is>
      </c>
      <c r="BB262" t="inlineStr">
        <is>
          <t>9780843621761</t>
        </is>
      </c>
      <c r="BC262" t="inlineStr">
        <is>
          <t>32285001749422</t>
        </is>
      </c>
      <c r="BD262" t="inlineStr">
        <is>
          <t>893446411</t>
        </is>
      </c>
    </row>
    <row r="263">
      <c r="A263" t="inlineStr">
        <is>
          <t>No</t>
        </is>
      </c>
      <c r="B263" t="inlineStr">
        <is>
          <t>TX945 .G4</t>
        </is>
      </c>
      <c r="C263" t="inlineStr">
        <is>
          <t>0                      TX 0945000G  4</t>
        </is>
      </c>
      <c r="D263" t="inlineStr">
        <is>
          <t>School food centers; a guide to operating the school lunch program.</t>
        </is>
      </c>
      <c r="F263" t="inlineStr">
        <is>
          <t>No</t>
        </is>
      </c>
      <c r="G263" t="inlineStr">
        <is>
          <t>1</t>
        </is>
      </c>
      <c r="H263" t="inlineStr">
        <is>
          <t>No</t>
        </is>
      </c>
      <c r="I263" t="inlineStr">
        <is>
          <t>No</t>
        </is>
      </c>
      <c r="J263" t="inlineStr">
        <is>
          <t>0</t>
        </is>
      </c>
      <c r="K263" t="inlineStr">
        <is>
          <t>George, Norvil Lester, 1902-</t>
        </is>
      </c>
      <c r="L263" t="inlineStr">
        <is>
          <t>New York, Ronald Press Co. [1960]</t>
        </is>
      </c>
      <c r="M263" t="inlineStr">
        <is>
          <t>1960</t>
        </is>
      </c>
      <c r="O263" t="inlineStr">
        <is>
          <t>eng</t>
        </is>
      </c>
      <c r="P263" t="inlineStr">
        <is>
          <t xml:space="preserve">xx </t>
        </is>
      </c>
      <c r="R263" t="inlineStr">
        <is>
          <t xml:space="preserve">TX </t>
        </is>
      </c>
      <c r="S263" t="n">
        <v>3</v>
      </c>
      <c r="T263" t="n">
        <v>3</v>
      </c>
      <c r="U263" t="inlineStr">
        <is>
          <t>2004-03-16</t>
        </is>
      </c>
      <c r="V263" t="inlineStr">
        <is>
          <t>2004-03-16</t>
        </is>
      </c>
      <c r="W263" t="inlineStr">
        <is>
          <t>1997-08-29</t>
        </is>
      </c>
      <c r="X263" t="inlineStr">
        <is>
          <t>1997-08-29</t>
        </is>
      </c>
      <c r="Y263" t="n">
        <v>172</v>
      </c>
      <c r="Z263" t="n">
        <v>164</v>
      </c>
      <c r="AA263" t="n">
        <v>170</v>
      </c>
      <c r="AB263" t="n">
        <v>2</v>
      </c>
      <c r="AC263" t="n">
        <v>2</v>
      </c>
      <c r="AD263" t="n">
        <v>5</v>
      </c>
      <c r="AE263" t="n">
        <v>5</v>
      </c>
      <c r="AF263" t="n">
        <v>2</v>
      </c>
      <c r="AG263" t="n">
        <v>2</v>
      </c>
      <c r="AH263" t="n">
        <v>1</v>
      </c>
      <c r="AI263" t="n">
        <v>1</v>
      </c>
      <c r="AJ263" t="n">
        <v>3</v>
      </c>
      <c r="AK263" t="n">
        <v>3</v>
      </c>
      <c r="AL263" t="n">
        <v>1</v>
      </c>
      <c r="AM263" t="n">
        <v>1</v>
      </c>
      <c r="AN263" t="n">
        <v>0</v>
      </c>
      <c r="AO263" t="n">
        <v>0</v>
      </c>
      <c r="AP263" t="inlineStr">
        <is>
          <t>Yes</t>
        </is>
      </c>
      <c r="AQ263" t="inlineStr">
        <is>
          <t>No</t>
        </is>
      </c>
      <c r="AR263">
        <f>HYPERLINK("http://catalog.hathitrust.org/Record/008384162","HathiTrust Record")</f>
        <v/>
      </c>
      <c r="AS263">
        <f>HYPERLINK("https://creighton-primo.hosted.exlibrisgroup.com/primo-explore/search?tab=default_tab&amp;search_scope=EVERYTHING&amp;vid=01CRU&amp;lang=en_US&amp;offset=0&amp;query=any,contains,991002999499702656","Catalog Record")</f>
        <v/>
      </c>
      <c r="AT263">
        <f>HYPERLINK("http://www.worldcat.org/oclc/567626","WorldCat Record")</f>
        <v/>
      </c>
      <c r="AU263" t="inlineStr">
        <is>
          <t>1658721:eng</t>
        </is>
      </c>
      <c r="AV263" t="inlineStr">
        <is>
          <t>567626</t>
        </is>
      </c>
      <c r="AW263" t="inlineStr">
        <is>
          <t>991002999499702656</t>
        </is>
      </c>
      <c r="AX263" t="inlineStr">
        <is>
          <t>991002999499702656</t>
        </is>
      </c>
      <c r="AY263" t="inlineStr">
        <is>
          <t>2257616500002656</t>
        </is>
      </c>
      <c r="AZ263" t="inlineStr">
        <is>
          <t>BOOK</t>
        </is>
      </c>
      <c r="BC263" t="inlineStr">
        <is>
          <t>32285003120929</t>
        </is>
      </c>
      <c r="BD263" t="inlineStr">
        <is>
          <t>893692275</t>
        </is>
      </c>
    </row>
    <row r="264">
      <c r="A264" t="inlineStr">
        <is>
          <t>No</t>
        </is>
      </c>
      <c r="B264" t="inlineStr">
        <is>
          <t>TX945 .J35 1999</t>
        </is>
      </c>
      <c r="C264" t="inlineStr">
        <is>
          <t>0                      TX 0945000J  35          1999</t>
        </is>
      </c>
      <c r="D264" t="inlineStr">
        <is>
          <t>Fast food : roadside restaurants in the automobile age / John A. Jakle &amp; Keith A. Sculle.</t>
        </is>
      </c>
      <c r="F264" t="inlineStr">
        <is>
          <t>No</t>
        </is>
      </c>
      <c r="G264" t="inlineStr">
        <is>
          <t>1</t>
        </is>
      </c>
      <c r="H264" t="inlineStr">
        <is>
          <t>No</t>
        </is>
      </c>
      <c r="I264" t="inlineStr">
        <is>
          <t>No</t>
        </is>
      </c>
      <c r="J264" t="inlineStr">
        <is>
          <t>0</t>
        </is>
      </c>
      <c r="K264" t="inlineStr">
        <is>
          <t>Jakle, John A.</t>
        </is>
      </c>
      <c r="L264" t="inlineStr">
        <is>
          <t>Baltimore, Md : Johns Hopkins University Press, 1999.</t>
        </is>
      </c>
      <c r="M264" t="inlineStr">
        <is>
          <t>1999</t>
        </is>
      </c>
      <c r="O264" t="inlineStr">
        <is>
          <t>eng</t>
        </is>
      </c>
      <c r="P264" t="inlineStr">
        <is>
          <t>mdu</t>
        </is>
      </c>
      <c r="Q264" t="inlineStr">
        <is>
          <t>The road and American culture</t>
        </is>
      </c>
      <c r="R264" t="inlineStr">
        <is>
          <t xml:space="preserve">TX </t>
        </is>
      </c>
      <c r="S264" t="n">
        <v>10</v>
      </c>
      <c r="T264" t="n">
        <v>10</v>
      </c>
      <c r="U264" t="inlineStr">
        <is>
          <t>2006-10-07</t>
        </is>
      </c>
      <c r="V264" t="inlineStr">
        <is>
          <t>2006-10-07</t>
        </is>
      </c>
      <c r="W264" t="inlineStr">
        <is>
          <t>2000-07-25</t>
        </is>
      </c>
      <c r="X264" t="inlineStr">
        <is>
          <t>2000-07-25</t>
        </is>
      </c>
      <c r="Y264" t="n">
        <v>868</v>
      </c>
      <c r="Z264" t="n">
        <v>749</v>
      </c>
      <c r="AA264" t="n">
        <v>774</v>
      </c>
      <c r="AB264" t="n">
        <v>7</v>
      </c>
      <c r="AC264" t="n">
        <v>7</v>
      </c>
      <c r="AD264" t="n">
        <v>30</v>
      </c>
      <c r="AE264" t="n">
        <v>30</v>
      </c>
      <c r="AF264" t="n">
        <v>15</v>
      </c>
      <c r="AG264" t="n">
        <v>15</v>
      </c>
      <c r="AH264" t="n">
        <v>4</v>
      </c>
      <c r="AI264" t="n">
        <v>4</v>
      </c>
      <c r="AJ264" t="n">
        <v>13</v>
      </c>
      <c r="AK264" t="n">
        <v>13</v>
      </c>
      <c r="AL264" t="n">
        <v>6</v>
      </c>
      <c r="AM264" t="n">
        <v>6</v>
      </c>
      <c r="AN264" t="n">
        <v>0</v>
      </c>
      <c r="AO264" t="n">
        <v>0</v>
      </c>
      <c r="AP264" t="inlineStr">
        <is>
          <t>No</t>
        </is>
      </c>
      <c r="AQ264" t="inlineStr">
        <is>
          <t>Yes</t>
        </is>
      </c>
      <c r="AR264">
        <f>HYPERLINK("http://catalog.hathitrust.org/Record/004168692","HathiTrust Record")</f>
        <v/>
      </c>
      <c r="AS264">
        <f>HYPERLINK("https://creighton-primo.hosted.exlibrisgroup.com/primo-explore/search?tab=default_tab&amp;search_scope=EVERYTHING&amp;vid=01CRU&amp;lang=en_US&amp;offset=0&amp;query=any,contains,991003218229702656","Catalog Record")</f>
        <v/>
      </c>
      <c r="AT264">
        <f>HYPERLINK("http://www.worldcat.org/oclc/40269942","WorldCat Record")</f>
        <v/>
      </c>
      <c r="AU264" t="inlineStr">
        <is>
          <t>837014082:eng</t>
        </is>
      </c>
      <c r="AV264" t="inlineStr">
        <is>
          <t>40269942</t>
        </is>
      </c>
      <c r="AW264" t="inlineStr">
        <is>
          <t>991003218229702656</t>
        </is>
      </c>
      <c r="AX264" t="inlineStr">
        <is>
          <t>991003218229702656</t>
        </is>
      </c>
      <c r="AY264" t="inlineStr">
        <is>
          <t>2259231730002656</t>
        </is>
      </c>
      <c r="AZ264" t="inlineStr">
        <is>
          <t>BOOK</t>
        </is>
      </c>
      <c r="BB264" t="inlineStr">
        <is>
          <t>9780801861093</t>
        </is>
      </c>
      <c r="BC264" t="inlineStr">
        <is>
          <t>32285003686960</t>
        </is>
      </c>
      <c r="BD264" t="inlineStr">
        <is>
          <t>893348445</t>
        </is>
      </c>
    </row>
    <row r="265">
      <c r="A265" t="inlineStr">
        <is>
          <t>No</t>
        </is>
      </c>
      <c r="B265" t="inlineStr">
        <is>
          <t>TX945.5.B63 E93 1988</t>
        </is>
      </c>
      <c r="C265" t="inlineStr">
        <is>
          <t>0                      TX 0945500B  63                 E  93          1988</t>
        </is>
      </c>
      <c r="D265" t="inlineStr">
        <is>
          <t>Bob Evans Farms, Inc. : fine family restaurants and farm fresh sausage / Daniel E. Evans.</t>
        </is>
      </c>
      <c r="F265" t="inlineStr">
        <is>
          <t>No</t>
        </is>
      </c>
      <c r="G265" t="inlineStr">
        <is>
          <t>1</t>
        </is>
      </c>
      <c r="H265" t="inlineStr">
        <is>
          <t>No</t>
        </is>
      </c>
      <c r="I265" t="inlineStr">
        <is>
          <t>No</t>
        </is>
      </c>
      <c r="J265" t="inlineStr">
        <is>
          <t>0</t>
        </is>
      </c>
      <c r="K265" t="inlineStr">
        <is>
          <t>Evans, Daniel E.</t>
        </is>
      </c>
      <c r="L265" t="inlineStr">
        <is>
          <t>New York : Newcomen Society of the United States, 1988, c1989.</t>
        </is>
      </c>
      <c r="M265" t="inlineStr">
        <is>
          <t>1988</t>
        </is>
      </c>
      <c r="O265" t="inlineStr">
        <is>
          <t>eng</t>
        </is>
      </c>
      <c r="P265" t="inlineStr">
        <is>
          <t>nyu</t>
        </is>
      </c>
      <c r="Q265" t="inlineStr">
        <is>
          <t>Newcomen publication ; no. 1314</t>
        </is>
      </c>
      <c r="R265" t="inlineStr">
        <is>
          <t xml:space="preserve">TX </t>
        </is>
      </c>
      <c r="S265" t="n">
        <v>1</v>
      </c>
      <c r="T265" t="n">
        <v>1</v>
      </c>
      <c r="U265" t="inlineStr">
        <is>
          <t>1995-09-24</t>
        </is>
      </c>
      <c r="V265" t="inlineStr">
        <is>
          <t>1995-09-24</t>
        </is>
      </c>
      <c r="W265" t="inlineStr">
        <is>
          <t>1993-08-03</t>
        </is>
      </c>
      <c r="X265" t="inlineStr">
        <is>
          <t>1993-08-03</t>
        </is>
      </c>
      <c r="Y265" t="n">
        <v>149</v>
      </c>
      <c r="Z265" t="n">
        <v>148</v>
      </c>
      <c r="AA265" t="n">
        <v>250</v>
      </c>
      <c r="AB265" t="n">
        <v>2</v>
      </c>
      <c r="AC265" t="n">
        <v>4</v>
      </c>
      <c r="AD265" t="n">
        <v>8</v>
      </c>
      <c r="AE265" t="n">
        <v>17</v>
      </c>
      <c r="AF265" t="n">
        <v>2</v>
      </c>
      <c r="AG265" t="n">
        <v>9</v>
      </c>
      <c r="AH265" t="n">
        <v>4</v>
      </c>
      <c r="AI265" t="n">
        <v>4</v>
      </c>
      <c r="AJ265" t="n">
        <v>4</v>
      </c>
      <c r="AK265" t="n">
        <v>8</v>
      </c>
      <c r="AL265" t="n">
        <v>1</v>
      </c>
      <c r="AM265" t="n">
        <v>3</v>
      </c>
      <c r="AN265" t="n">
        <v>0</v>
      </c>
      <c r="AO265" t="n">
        <v>0</v>
      </c>
      <c r="AP265" t="inlineStr">
        <is>
          <t>No</t>
        </is>
      </c>
      <c r="AQ265" t="inlineStr">
        <is>
          <t>No</t>
        </is>
      </c>
      <c r="AS265">
        <f>HYPERLINK("https://creighton-primo.hosted.exlibrisgroup.com/primo-explore/search?tab=default_tab&amp;search_scope=EVERYTHING&amp;vid=01CRU&amp;lang=en_US&amp;offset=0&amp;query=any,contains,991001536219702656","Catalog Record")</f>
        <v/>
      </c>
      <c r="AT265">
        <f>HYPERLINK("http://www.worldcat.org/oclc/20084114","WorldCat Record")</f>
        <v/>
      </c>
      <c r="AU265" t="inlineStr">
        <is>
          <t>21694195:eng</t>
        </is>
      </c>
      <c r="AV265" t="inlineStr">
        <is>
          <t>20084114</t>
        </is>
      </c>
      <c r="AW265" t="inlineStr">
        <is>
          <t>991001536219702656</t>
        </is>
      </c>
      <c r="AX265" t="inlineStr">
        <is>
          <t>991001536219702656</t>
        </is>
      </c>
      <c r="AY265" t="inlineStr">
        <is>
          <t>2270072670002656</t>
        </is>
      </c>
      <c r="AZ265" t="inlineStr">
        <is>
          <t>BOOK</t>
        </is>
      </c>
      <c r="BC265" t="inlineStr">
        <is>
          <t>32285001749448</t>
        </is>
      </c>
      <c r="BD265" t="inlineStr">
        <is>
          <t>893778852</t>
        </is>
      </c>
    </row>
    <row r="266">
      <c r="A266" t="inlineStr">
        <is>
          <t>No</t>
        </is>
      </c>
      <c r="B266" t="inlineStr">
        <is>
          <t>TX945.5.C54 C36 1998</t>
        </is>
      </c>
      <c r="C266" t="inlineStr">
        <is>
          <t>0                      TX 0945500C  54                 C  36          1998</t>
        </is>
      </c>
      <c r="D266" t="inlineStr">
        <is>
          <t>Chick-fil-A, Inc. : a history maker in foodservice / S. Truett Cathy.</t>
        </is>
      </c>
      <c r="F266" t="inlineStr">
        <is>
          <t>No</t>
        </is>
      </c>
      <c r="G266" t="inlineStr">
        <is>
          <t>1</t>
        </is>
      </c>
      <c r="H266" t="inlineStr">
        <is>
          <t>No</t>
        </is>
      </c>
      <c r="I266" t="inlineStr">
        <is>
          <t>No</t>
        </is>
      </c>
      <c r="J266" t="inlineStr">
        <is>
          <t>0</t>
        </is>
      </c>
      <c r="K266" t="inlineStr">
        <is>
          <t>Cathy, S. Truett.</t>
        </is>
      </c>
      <c r="L266" t="inlineStr">
        <is>
          <t>New York, N.Y. : The Newcomen Society of America, 1998.</t>
        </is>
      </c>
      <c r="M266" t="inlineStr">
        <is>
          <t>1998</t>
        </is>
      </c>
      <c r="O266" t="inlineStr">
        <is>
          <t>eng</t>
        </is>
      </c>
      <c r="P266" t="inlineStr">
        <is>
          <t>nyu</t>
        </is>
      </c>
      <c r="Q266" t="inlineStr">
        <is>
          <t>Newcomen publication ; no. 1511</t>
        </is>
      </c>
      <c r="R266" t="inlineStr">
        <is>
          <t xml:space="preserve">TX </t>
        </is>
      </c>
      <c r="S266" t="n">
        <v>1</v>
      </c>
      <c r="T266" t="n">
        <v>1</v>
      </c>
      <c r="U266" t="inlineStr">
        <is>
          <t>2006-11-09</t>
        </is>
      </c>
      <c r="V266" t="inlineStr">
        <is>
          <t>2006-11-09</t>
        </is>
      </c>
      <c r="W266" t="inlineStr">
        <is>
          <t>1999-01-18</t>
        </is>
      </c>
      <c r="X266" t="inlineStr">
        <is>
          <t>1999-01-18</t>
        </is>
      </c>
      <c r="Y266" t="n">
        <v>209</v>
      </c>
      <c r="Z266" t="n">
        <v>206</v>
      </c>
      <c r="AA266" t="n">
        <v>208</v>
      </c>
      <c r="AB266" t="n">
        <v>5</v>
      </c>
      <c r="AC266" t="n">
        <v>5</v>
      </c>
      <c r="AD266" t="n">
        <v>12</v>
      </c>
      <c r="AE266" t="n">
        <v>12</v>
      </c>
      <c r="AF266" t="n">
        <v>7</v>
      </c>
      <c r="AG266" t="n">
        <v>7</v>
      </c>
      <c r="AH266" t="n">
        <v>1</v>
      </c>
      <c r="AI266" t="n">
        <v>1</v>
      </c>
      <c r="AJ266" t="n">
        <v>3</v>
      </c>
      <c r="AK266" t="n">
        <v>3</v>
      </c>
      <c r="AL266" t="n">
        <v>4</v>
      </c>
      <c r="AM266" t="n">
        <v>4</v>
      </c>
      <c r="AN266" t="n">
        <v>0</v>
      </c>
      <c r="AO266" t="n">
        <v>0</v>
      </c>
      <c r="AP266" t="inlineStr">
        <is>
          <t>No</t>
        </is>
      </c>
      <c r="AQ266" t="inlineStr">
        <is>
          <t>No</t>
        </is>
      </c>
      <c r="AS266">
        <f>HYPERLINK("https://creighton-primo.hosted.exlibrisgroup.com/primo-explore/search?tab=default_tab&amp;search_scope=EVERYTHING&amp;vid=01CRU&amp;lang=en_US&amp;offset=0&amp;query=any,contains,991002994899702656","Catalog Record")</f>
        <v/>
      </c>
      <c r="AT266">
        <f>HYPERLINK("http://www.worldcat.org/oclc/40471101","WorldCat Record")</f>
        <v/>
      </c>
      <c r="AU266" t="inlineStr">
        <is>
          <t>24117066:eng</t>
        </is>
      </c>
      <c r="AV266" t="inlineStr">
        <is>
          <t>40471101</t>
        </is>
      </c>
      <c r="AW266" t="inlineStr">
        <is>
          <t>991002994899702656</t>
        </is>
      </c>
      <c r="AX266" t="inlineStr">
        <is>
          <t>991002994899702656</t>
        </is>
      </c>
      <c r="AY266" t="inlineStr">
        <is>
          <t>2263116980002656</t>
        </is>
      </c>
      <c r="AZ266" t="inlineStr">
        <is>
          <t>BOOK</t>
        </is>
      </c>
      <c r="BC266" t="inlineStr">
        <is>
          <t>32285003513289</t>
        </is>
      </c>
      <c r="BD266" t="inlineStr">
        <is>
          <t>893904200</t>
        </is>
      </c>
    </row>
    <row r="267">
      <c r="A267" t="inlineStr">
        <is>
          <t>No</t>
        </is>
      </c>
      <c r="B267" t="inlineStr">
        <is>
          <t>TX945.5.H54 S76 2005</t>
        </is>
      </c>
      <c r="C267" t="inlineStr">
        <is>
          <t>0                      TX 0945500H  54                 S  76          2005</t>
        </is>
      </c>
      <c r="D267" t="inlineStr">
        <is>
          <t>Highlands Bar and Grill : on the southside of Birmingham / Frank Stitt.</t>
        </is>
      </c>
      <c r="F267" t="inlineStr">
        <is>
          <t>No</t>
        </is>
      </c>
      <c r="G267" t="inlineStr">
        <is>
          <t>1</t>
        </is>
      </c>
      <c r="H267" t="inlineStr">
        <is>
          <t>No</t>
        </is>
      </c>
      <c r="I267" t="inlineStr">
        <is>
          <t>No</t>
        </is>
      </c>
      <c r="J267" t="inlineStr">
        <is>
          <t>0</t>
        </is>
      </c>
      <c r="K267" t="inlineStr">
        <is>
          <t>Stitt, Frank, 1954-</t>
        </is>
      </c>
      <c r="L267" t="inlineStr">
        <is>
          <t>Exton, Penn. : Newcomen Society of the United States, 2005.</t>
        </is>
      </c>
      <c r="M267" t="inlineStr">
        <is>
          <t>2005</t>
        </is>
      </c>
      <c r="O267" t="inlineStr">
        <is>
          <t>eng</t>
        </is>
      </c>
      <c r="P267" t="inlineStr">
        <is>
          <t>alu</t>
        </is>
      </c>
      <c r="Q267" t="inlineStr">
        <is>
          <t>Newcomen publication ; no. 1606</t>
        </is>
      </c>
      <c r="R267" t="inlineStr">
        <is>
          <t xml:space="preserve">TX </t>
        </is>
      </c>
      <c r="S267" t="n">
        <v>1</v>
      </c>
      <c r="T267" t="n">
        <v>1</v>
      </c>
      <c r="U267" t="inlineStr">
        <is>
          <t>2006-03-16</t>
        </is>
      </c>
      <c r="V267" t="inlineStr">
        <is>
          <t>2006-03-16</t>
        </is>
      </c>
      <c r="W267" t="inlineStr">
        <is>
          <t>2006-03-16</t>
        </is>
      </c>
      <c r="X267" t="inlineStr">
        <is>
          <t>2006-03-16</t>
        </is>
      </c>
      <c r="Y267" t="n">
        <v>176</v>
      </c>
      <c r="Z267" t="n">
        <v>174</v>
      </c>
      <c r="AA267" t="n">
        <v>175</v>
      </c>
      <c r="AB267" t="n">
        <v>4</v>
      </c>
      <c r="AC267" t="n">
        <v>4</v>
      </c>
      <c r="AD267" t="n">
        <v>8</v>
      </c>
      <c r="AE267" t="n">
        <v>8</v>
      </c>
      <c r="AF267" t="n">
        <v>4</v>
      </c>
      <c r="AG267" t="n">
        <v>4</v>
      </c>
      <c r="AH267" t="n">
        <v>1</v>
      </c>
      <c r="AI267" t="n">
        <v>1</v>
      </c>
      <c r="AJ267" t="n">
        <v>2</v>
      </c>
      <c r="AK267" t="n">
        <v>2</v>
      </c>
      <c r="AL267" t="n">
        <v>3</v>
      </c>
      <c r="AM267" t="n">
        <v>3</v>
      </c>
      <c r="AN267" t="n">
        <v>0</v>
      </c>
      <c r="AO267" t="n">
        <v>0</v>
      </c>
      <c r="AP267" t="inlineStr">
        <is>
          <t>No</t>
        </is>
      </c>
      <c r="AQ267" t="inlineStr">
        <is>
          <t>No</t>
        </is>
      </c>
      <c r="AS267">
        <f>HYPERLINK("https://creighton-primo.hosted.exlibrisgroup.com/primo-explore/search?tab=default_tab&amp;search_scope=EVERYTHING&amp;vid=01CRU&amp;lang=en_US&amp;offset=0&amp;query=any,contains,991004768509702656","Catalog Record")</f>
        <v/>
      </c>
      <c r="AT267">
        <f>HYPERLINK("http://www.worldcat.org/oclc/64584137","WorldCat Record")</f>
        <v/>
      </c>
      <c r="AU267" t="inlineStr">
        <is>
          <t>4662331154:eng</t>
        </is>
      </c>
      <c r="AV267" t="inlineStr">
        <is>
          <t>64584137</t>
        </is>
      </c>
      <c r="AW267" t="inlineStr">
        <is>
          <t>991004768509702656</t>
        </is>
      </c>
      <c r="AX267" t="inlineStr">
        <is>
          <t>991004768509702656</t>
        </is>
      </c>
      <c r="AY267" t="inlineStr">
        <is>
          <t>2270822230002656</t>
        </is>
      </c>
      <c r="AZ267" t="inlineStr">
        <is>
          <t>BOOK</t>
        </is>
      </c>
      <c r="BC267" t="inlineStr">
        <is>
          <t>32285005165344</t>
        </is>
      </c>
      <c r="BD267" t="inlineStr">
        <is>
          <t>893417997</t>
        </is>
      </c>
    </row>
    <row r="268">
      <c r="A268" t="inlineStr">
        <is>
          <t>No</t>
        </is>
      </c>
      <c r="B268" t="inlineStr">
        <is>
          <t>TX945.5.M33 K57 2002</t>
        </is>
      </c>
      <c r="C268" t="inlineStr">
        <is>
          <t>0                      TX 0945500M  33                 K  57          2002</t>
        </is>
      </c>
      <c r="D268" t="inlineStr">
        <is>
          <t>The sign of the burger : McDonald's and the culture of power / Joe L. Kincheloe.</t>
        </is>
      </c>
      <c r="F268" t="inlineStr">
        <is>
          <t>No</t>
        </is>
      </c>
      <c r="G268" t="inlineStr">
        <is>
          <t>1</t>
        </is>
      </c>
      <c r="H268" t="inlineStr">
        <is>
          <t>No</t>
        </is>
      </c>
      <c r="I268" t="inlineStr">
        <is>
          <t>No</t>
        </is>
      </c>
      <c r="J268" t="inlineStr">
        <is>
          <t>0</t>
        </is>
      </c>
      <c r="K268" t="inlineStr">
        <is>
          <t>Kincheloe, Joe L.</t>
        </is>
      </c>
      <c r="L268" t="inlineStr">
        <is>
          <t>Philadelphia : Temple University Press, 2002.</t>
        </is>
      </c>
      <c r="M268" t="inlineStr">
        <is>
          <t>2002</t>
        </is>
      </c>
      <c r="O268" t="inlineStr">
        <is>
          <t>eng</t>
        </is>
      </c>
      <c r="P268" t="inlineStr">
        <is>
          <t>pau</t>
        </is>
      </c>
      <c r="Q268" t="inlineStr">
        <is>
          <t>Labor in crisis</t>
        </is>
      </c>
      <c r="R268" t="inlineStr">
        <is>
          <t xml:space="preserve">TX </t>
        </is>
      </c>
      <c r="S268" t="n">
        <v>14</v>
      </c>
      <c r="T268" t="n">
        <v>14</v>
      </c>
      <c r="U268" t="inlineStr">
        <is>
          <t>2006-11-12</t>
        </is>
      </c>
      <c r="V268" t="inlineStr">
        <is>
          <t>2006-11-12</t>
        </is>
      </c>
      <c r="W268" t="inlineStr">
        <is>
          <t>2003-02-26</t>
        </is>
      </c>
      <c r="X268" t="inlineStr">
        <is>
          <t>2003-02-26</t>
        </is>
      </c>
      <c r="Y268" t="n">
        <v>665</v>
      </c>
      <c r="Z268" t="n">
        <v>565</v>
      </c>
      <c r="AA268" t="n">
        <v>565</v>
      </c>
      <c r="AB268" t="n">
        <v>5</v>
      </c>
      <c r="AC268" t="n">
        <v>5</v>
      </c>
      <c r="AD268" t="n">
        <v>26</v>
      </c>
      <c r="AE268" t="n">
        <v>26</v>
      </c>
      <c r="AF268" t="n">
        <v>12</v>
      </c>
      <c r="AG268" t="n">
        <v>12</v>
      </c>
      <c r="AH268" t="n">
        <v>6</v>
      </c>
      <c r="AI268" t="n">
        <v>6</v>
      </c>
      <c r="AJ268" t="n">
        <v>12</v>
      </c>
      <c r="AK268" t="n">
        <v>12</v>
      </c>
      <c r="AL268" t="n">
        <v>4</v>
      </c>
      <c r="AM268" t="n">
        <v>4</v>
      </c>
      <c r="AN268" t="n">
        <v>0</v>
      </c>
      <c r="AO268" t="n">
        <v>0</v>
      </c>
      <c r="AP268" t="inlineStr">
        <is>
          <t>No</t>
        </is>
      </c>
      <c r="AQ268" t="inlineStr">
        <is>
          <t>No</t>
        </is>
      </c>
      <c r="AS268">
        <f>HYPERLINK("https://creighton-primo.hosted.exlibrisgroup.com/primo-explore/search?tab=default_tab&amp;search_scope=EVERYTHING&amp;vid=01CRU&amp;lang=en_US&amp;offset=0&amp;query=any,contains,991003990669702656","Catalog Record")</f>
        <v/>
      </c>
      <c r="AT268">
        <f>HYPERLINK("http://www.worldcat.org/oclc/47140812","WorldCat Record")</f>
        <v/>
      </c>
      <c r="AU268" t="inlineStr">
        <is>
          <t>20645839:eng</t>
        </is>
      </c>
      <c r="AV268" t="inlineStr">
        <is>
          <t>47140812</t>
        </is>
      </c>
      <c r="AW268" t="inlineStr">
        <is>
          <t>991003990669702656</t>
        </is>
      </c>
      <c r="AX268" t="inlineStr">
        <is>
          <t>991003990669702656</t>
        </is>
      </c>
      <c r="AY268" t="inlineStr">
        <is>
          <t>2262975930002656</t>
        </is>
      </c>
      <c r="AZ268" t="inlineStr">
        <is>
          <t>BOOK</t>
        </is>
      </c>
      <c r="BB268" t="inlineStr">
        <is>
          <t>9781566399319</t>
        </is>
      </c>
      <c r="BC268" t="inlineStr">
        <is>
          <t>32285004681051</t>
        </is>
      </c>
      <c r="BD268" t="inlineStr">
        <is>
          <t>893318671</t>
        </is>
      </c>
    </row>
    <row r="269">
      <c r="A269" t="inlineStr">
        <is>
          <t>No</t>
        </is>
      </c>
      <c r="B269" t="inlineStr">
        <is>
          <t>TX950.59.G7 G57 1984</t>
        </is>
      </c>
      <c r="C269" t="inlineStr">
        <is>
          <t>0                      TX 0950590G  7                  G  57          1984</t>
        </is>
      </c>
      <c r="D269" t="inlineStr">
        <is>
          <t>Victorian pubs / Mark Girouard.</t>
        </is>
      </c>
      <c r="F269" t="inlineStr">
        <is>
          <t>No</t>
        </is>
      </c>
      <c r="G269" t="inlineStr">
        <is>
          <t>1</t>
        </is>
      </c>
      <c r="H269" t="inlineStr">
        <is>
          <t>No</t>
        </is>
      </c>
      <c r="I269" t="inlineStr">
        <is>
          <t>No</t>
        </is>
      </c>
      <c r="J269" t="inlineStr">
        <is>
          <t>0</t>
        </is>
      </c>
      <c r="K269" t="inlineStr">
        <is>
          <t>Girouard, Mark, 1931-</t>
        </is>
      </c>
      <c r="L269" t="inlineStr">
        <is>
          <t>New Haven : Yale University Press, 1984.</t>
        </is>
      </c>
      <c r="M269" t="inlineStr">
        <is>
          <t>1984</t>
        </is>
      </c>
      <c r="O269" t="inlineStr">
        <is>
          <t>eng</t>
        </is>
      </c>
      <c r="P269" t="inlineStr">
        <is>
          <t>ctu</t>
        </is>
      </c>
      <c r="R269" t="inlineStr">
        <is>
          <t xml:space="preserve">TX </t>
        </is>
      </c>
      <c r="S269" t="n">
        <v>2</v>
      </c>
      <c r="T269" t="n">
        <v>2</v>
      </c>
      <c r="U269" t="inlineStr">
        <is>
          <t>2001-09-23</t>
        </is>
      </c>
      <c r="V269" t="inlineStr">
        <is>
          <t>2001-09-23</t>
        </is>
      </c>
      <c r="W269" t="inlineStr">
        <is>
          <t>1992-07-14</t>
        </is>
      </c>
      <c r="X269" t="inlineStr">
        <is>
          <t>1992-07-14</t>
        </is>
      </c>
      <c r="Y269" t="n">
        <v>347</v>
      </c>
      <c r="Z269" t="n">
        <v>264</v>
      </c>
      <c r="AA269" t="n">
        <v>334</v>
      </c>
      <c r="AB269" t="n">
        <v>2</v>
      </c>
      <c r="AC269" t="n">
        <v>4</v>
      </c>
      <c r="AD269" t="n">
        <v>9</v>
      </c>
      <c r="AE269" t="n">
        <v>13</v>
      </c>
      <c r="AF269" t="n">
        <v>2</v>
      </c>
      <c r="AG269" t="n">
        <v>3</v>
      </c>
      <c r="AH269" t="n">
        <v>3</v>
      </c>
      <c r="AI269" t="n">
        <v>4</v>
      </c>
      <c r="AJ269" t="n">
        <v>5</v>
      </c>
      <c r="AK269" t="n">
        <v>6</v>
      </c>
      <c r="AL269" t="n">
        <v>1</v>
      </c>
      <c r="AM269" t="n">
        <v>3</v>
      </c>
      <c r="AN269" t="n">
        <v>0</v>
      </c>
      <c r="AO269" t="n">
        <v>0</v>
      </c>
      <c r="AP269" t="inlineStr">
        <is>
          <t>No</t>
        </is>
      </c>
      <c r="AQ269" t="inlineStr">
        <is>
          <t>No</t>
        </is>
      </c>
      <c r="AS269">
        <f>HYPERLINK("https://creighton-primo.hosted.exlibrisgroup.com/primo-explore/search?tab=default_tab&amp;search_scope=EVERYTHING&amp;vid=01CRU&amp;lang=en_US&amp;offset=0&amp;query=any,contains,991000342629702656","Catalog Record")</f>
        <v/>
      </c>
      <c r="AT269">
        <f>HYPERLINK("http://www.worldcat.org/oclc/10274942","WorldCat Record")</f>
        <v/>
      </c>
      <c r="AU269" t="inlineStr">
        <is>
          <t>3307458:eng</t>
        </is>
      </c>
      <c r="AV269" t="inlineStr">
        <is>
          <t>10274942</t>
        </is>
      </c>
      <c r="AW269" t="inlineStr">
        <is>
          <t>991000342629702656</t>
        </is>
      </c>
      <c r="AX269" t="inlineStr">
        <is>
          <t>991000342629702656</t>
        </is>
      </c>
      <c r="AY269" t="inlineStr">
        <is>
          <t>2270299230002656</t>
        </is>
      </c>
      <c r="AZ269" t="inlineStr">
        <is>
          <t>BOOK</t>
        </is>
      </c>
      <c r="BB269" t="inlineStr">
        <is>
          <t>9780300032017</t>
        </is>
      </c>
      <c r="BC269" t="inlineStr">
        <is>
          <t>32285001152155</t>
        </is>
      </c>
      <c r="BD269" t="inlineStr">
        <is>
          <t>893896798</t>
        </is>
      </c>
    </row>
    <row r="270">
      <c r="A270" t="inlineStr">
        <is>
          <t>No</t>
        </is>
      </c>
      <c r="B270" t="inlineStr">
        <is>
          <t>TX950.7 .R5</t>
        </is>
      </c>
      <c r="C270" t="inlineStr">
        <is>
          <t>0                      TX 0950700R  5</t>
        </is>
      </c>
      <c r="D270" t="inlineStr">
        <is>
          <t>City of London pubs; a practical and historical guide [by] Timothy M. Richards and James Stevens Curl.</t>
        </is>
      </c>
      <c r="F270" t="inlineStr">
        <is>
          <t>No</t>
        </is>
      </c>
      <c r="G270" t="inlineStr">
        <is>
          <t>1</t>
        </is>
      </c>
      <c r="H270" t="inlineStr">
        <is>
          <t>No</t>
        </is>
      </c>
      <c r="I270" t="inlineStr">
        <is>
          <t>No</t>
        </is>
      </c>
      <c r="J270" t="inlineStr">
        <is>
          <t>0</t>
        </is>
      </c>
      <c r="K270" t="inlineStr">
        <is>
          <t>Richards, Timothy M.</t>
        </is>
      </c>
      <c r="L270" t="inlineStr">
        <is>
          <t>New York, Drake Publishers [1973]</t>
        </is>
      </c>
      <c r="M270" t="inlineStr">
        <is>
          <t>1973</t>
        </is>
      </c>
      <c r="O270" t="inlineStr">
        <is>
          <t>eng</t>
        </is>
      </c>
      <c r="P270" t="inlineStr">
        <is>
          <t>nyu</t>
        </is>
      </c>
      <c r="R270" t="inlineStr">
        <is>
          <t xml:space="preserve">TX </t>
        </is>
      </c>
      <c r="S270" t="n">
        <v>1</v>
      </c>
      <c r="T270" t="n">
        <v>1</v>
      </c>
      <c r="U270" t="inlineStr">
        <is>
          <t>2001-09-23</t>
        </is>
      </c>
      <c r="V270" t="inlineStr">
        <is>
          <t>2001-09-23</t>
        </is>
      </c>
      <c r="W270" t="inlineStr">
        <is>
          <t>1997-08-29</t>
        </is>
      </c>
      <c r="X270" t="inlineStr">
        <is>
          <t>1997-08-29</t>
        </is>
      </c>
      <c r="Y270" t="n">
        <v>111</v>
      </c>
      <c r="Z270" t="n">
        <v>104</v>
      </c>
      <c r="AA270" t="n">
        <v>116</v>
      </c>
      <c r="AB270" t="n">
        <v>1</v>
      </c>
      <c r="AC270" t="n">
        <v>2</v>
      </c>
      <c r="AD270" t="n">
        <v>0</v>
      </c>
      <c r="AE270" t="n">
        <v>1</v>
      </c>
      <c r="AF270" t="n">
        <v>0</v>
      </c>
      <c r="AG270" t="n">
        <v>0</v>
      </c>
      <c r="AH270" t="n">
        <v>0</v>
      </c>
      <c r="AI270" t="n">
        <v>0</v>
      </c>
      <c r="AJ270" t="n">
        <v>0</v>
      </c>
      <c r="AK270" t="n">
        <v>0</v>
      </c>
      <c r="AL270" t="n">
        <v>0</v>
      </c>
      <c r="AM270" t="n">
        <v>1</v>
      </c>
      <c r="AN270" t="n">
        <v>0</v>
      </c>
      <c r="AO270" t="n">
        <v>0</v>
      </c>
      <c r="AP270" t="inlineStr">
        <is>
          <t>No</t>
        </is>
      </c>
      <c r="AQ270" t="inlineStr">
        <is>
          <t>No</t>
        </is>
      </c>
      <c r="AS270">
        <f>HYPERLINK("https://creighton-primo.hosted.exlibrisgroup.com/primo-explore/search?tab=default_tab&amp;search_scope=EVERYTHING&amp;vid=01CRU&amp;lang=en_US&amp;offset=0&amp;query=any,contains,991003128219702656","Catalog Record")</f>
        <v/>
      </c>
      <c r="AT270">
        <f>HYPERLINK("http://www.worldcat.org/oclc/671920","WorldCat Record")</f>
        <v/>
      </c>
      <c r="AU270" t="inlineStr">
        <is>
          <t>1706635:eng</t>
        </is>
      </c>
      <c r="AV270" t="inlineStr">
        <is>
          <t>671920</t>
        </is>
      </c>
      <c r="AW270" t="inlineStr">
        <is>
          <t>991003128219702656</t>
        </is>
      </c>
      <c r="AX270" t="inlineStr">
        <is>
          <t>991003128219702656</t>
        </is>
      </c>
      <c r="AY270" t="inlineStr">
        <is>
          <t>2268356950002656</t>
        </is>
      </c>
      <c r="AZ270" t="inlineStr">
        <is>
          <t>BOOK</t>
        </is>
      </c>
      <c r="BB270" t="inlineStr">
        <is>
          <t>9780877493587</t>
        </is>
      </c>
      <c r="BC270" t="inlineStr">
        <is>
          <t>32285003120937</t>
        </is>
      </c>
      <c r="BD270" t="inlineStr">
        <is>
          <t>893434674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2022-06-26T23:46:46Z</dcterms:created>
  <dcterms:modified xsi:type="dcterms:W3CDTF">2022-06-26T23:46:46Z</dcterms:modified>
</cp:coreProperties>
</file>