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BL100 .B43</t>
        </is>
      </c>
      <c r="E2" t="inlineStr">
        <is>
          <t>0                      BL 0100000B  43</t>
        </is>
      </c>
      <c r="F2" t="inlineStr">
        <is>
          <t>A rumor of angels : modern society and the rediscovery of the supernatural / [by] Peter L. Berger.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Berger, Peter L., 1929-2017.</t>
        </is>
      </c>
      <c r="N2" t="inlineStr">
        <is>
          <t>Garden City, N.Y. : Doubleday, [1970, c1969]</t>
        </is>
      </c>
      <c r="O2" t="inlineStr">
        <is>
          <t>1970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BL </t>
        </is>
      </c>
      <c r="U2" t="n">
        <v>5</v>
      </c>
      <c r="V2" t="n">
        <v>5</v>
      </c>
      <c r="W2" t="inlineStr">
        <is>
          <t>2010-03-31</t>
        </is>
      </c>
      <c r="X2" t="inlineStr">
        <is>
          <t>2010-03-31</t>
        </is>
      </c>
      <c r="Y2" t="inlineStr">
        <is>
          <t>1990-11-26</t>
        </is>
      </c>
      <c r="Z2" t="inlineStr">
        <is>
          <t>1990-11-26</t>
        </is>
      </c>
      <c r="AA2" t="n">
        <v>29</v>
      </c>
      <c r="AB2" t="n">
        <v>25</v>
      </c>
      <c r="AC2" t="n">
        <v>1274</v>
      </c>
      <c r="AD2" t="n">
        <v>1</v>
      </c>
      <c r="AE2" t="n">
        <v>9</v>
      </c>
      <c r="AF2" t="n">
        <v>0</v>
      </c>
      <c r="AG2" t="n">
        <v>50</v>
      </c>
      <c r="AH2" t="n">
        <v>0</v>
      </c>
      <c r="AI2" t="n">
        <v>20</v>
      </c>
      <c r="AJ2" t="n">
        <v>0</v>
      </c>
      <c r="AK2" t="n">
        <v>11</v>
      </c>
      <c r="AL2" t="n">
        <v>0</v>
      </c>
      <c r="AM2" t="n">
        <v>26</v>
      </c>
      <c r="AN2" t="n">
        <v>0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HYPERLINK("https://creighton-primo.hosted.exlibrisgroup.com/primo-explore/search?tab=default_tab&amp;search_scope=EVERYTHING&amp;vid=01CRU&amp;lang=en_US&amp;offset=0&amp;query=any,contains,991004946089702656","Catalog Record")</f>
        <v/>
      </c>
      <c r="AV2">
        <f>HYPERLINK("http://www.worldcat.org/oclc/6211140","WorldCat Record")</f>
        <v/>
      </c>
      <c r="AW2" t="inlineStr">
        <is>
          <t>1089551547:eng</t>
        </is>
      </c>
      <c r="AX2" t="inlineStr">
        <is>
          <t>6211140</t>
        </is>
      </c>
      <c r="AY2" t="inlineStr">
        <is>
          <t>991004946089702656</t>
        </is>
      </c>
      <c r="AZ2" t="inlineStr">
        <is>
          <t>991004946089702656</t>
        </is>
      </c>
      <c r="BA2" t="inlineStr">
        <is>
          <t>2261721450002656</t>
        </is>
      </c>
      <c r="BB2" t="inlineStr">
        <is>
          <t>BOOK</t>
        </is>
      </c>
      <c r="BE2" t="inlineStr">
        <is>
          <t>32285000400860</t>
        </is>
      </c>
      <c r="BF2" t="inlineStr">
        <is>
          <t>893700851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BL1031 .E6 1962</t>
        </is>
      </c>
      <c r="E3" t="inlineStr">
        <is>
          <t>0                      BL 1031000E  6           1962</t>
        </is>
      </c>
      <c r="F3" t="inlineStr">
        <is>
          <t>Hinduism and Buddhism : an historical sketch.</t>
        </is>
      </c>
      <c r="G3" t="inlineStr">
        <is>
          <t>V.2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Eliot, Charles, 1862-1931.</t>
        </is>
      </c>
      <c r="N3" t="inlineStr">
        <is>
          <t>London : Routledge &amp; K. Paul, 1921, 1962 printing.</t>
        </is>
      </c>
      <c r="O3" t="inlineStr">
        <is>
          <t>1962</t>
        </is>
      </c>
      <c r="Q3" t="inlineStr">
        <is>
          <t>eng</t>
        </is>
      </c>
      <c r="R3" t="inlineStr">
        <is>
          <t>___</t>
        </is>
      </c>
      <c r="T3" t="inlineStr">
        <is>
          <t xml:space="preserve">BL </t>
        </is>
      </c>
      <c r="U3" t="n">
        <v>7</v>
      </c>
      <c r="V3" t="n">
        <v>28</v>
      </c>
      <c r="W3" t="inlineStr">
        <is>
          <t>1996-04-14</t>
        </is>
      </c>
      <c r="X3" t="inlineStr">
        <is>
          <t>1996-04-14</t>
        </is>
      </c>
      <c r="Y3" t="inlineStr">
        <is>
          <t>1990-10-16</t>
        </is>
      </c>
      <c r="Z3" t="inlineStr">
        <is>
          <t>1990-10-16</t>
        </is>
      </c>
      <c r="AA3" t="n">
        <v>137</v>
      </c>
      <c r="AB3" t="n">
        <v>125</v>
      </c>
      <c r="AC3" t="n">
        <v>915</v>
      </c>
      <c r="AD3" t="n">
        <v>1</v>
      </c>
      <c r="AE3" t="n">
        <v>5</v>
      </c>
      <c r="AF3" t="n">
        <v>5</v>
      </c>
      <c r="AG3" t="n">
        <v>40</v>
      </c>
      <c r="AH3" t="n">
        <v>3</v>
      </c>
      <c r="AI3" t="n">
        <v>18</v>
      </c>
      <c r="AJ3" t="n">
        <v>0</v>
      </c>
      <c r="AK3" t="n">
        <v>9</v>
      </c>
      <c r="AL3" t="n">
        <v>3</v>
      </c>
      <c r="AM3" t="n">
        <v>19</v>
      </c>
      <c r="AN3" t="n">
        <v>0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3">
        <f>HYPERLINK("http://www.worldcat.org/oclc/1159441","WorldCat Record")</f>
        <v/>
      </c>
      <c r="AW3" t="inlineStr">
        <is>
          <t>4923759231:eng</t>
        </is>
      </c>
      <c r="AX3" t="inlineStr">
        <is>
          <t>1159441</t>
        </is>
      </c>
      <c r="AY3" t="inlineStr">
        <is>
          <t>991003578949702656</t>
        </is>
      </c>
      <c r="AZ3" t="inlineStr">
        <is>
          <t>991003578949702656</t>
        </is>
      </c>
      <c r="BA3" t="inlineStr">
        <is>
          <t>2262255580002656</t>
        </is>
      </c>
      <c r="BB3" t="inlineStr">
        <is>
          <t>BOOK</t>
        </is>
      </c>
      <c r="BE3" t="inlineStr">
        <is>
          <t>32285000349026</t>
        </is>
      </c>
      <c r="BF3" t="inlineStr">
        <is>
          <t>893342713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BL1031 .E6 1962</t>
        </is>
      </c>
      <c r="E4" t="inlineStr">
        <is>
          <t>0                      BL 1031000E  6           1962</t>
        </is>
      </c>
      <c r="F4" t="inlineStr">
        <is>
          <t>Hinduism and Buddhism : an historical sketch.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Eliot, Charles, 1862-1931.</t>
        </is>
      </c>
      <c r="N4" t="inlineStr">
        <is>
          <t>London : Routledge &amp; K. Paul, 1921, 1962 printing.</t>
        </is>
      </c>
      <c r="O4" t="inlineStr">
        <is>
          <t>1962</t>
        </is>
      </c>
      <c r="Q4" t="inlineStr">
        <is>
          <t>eng</t>
        </is>
      </c>
      <c r="R4" t="inlineStr">
        <is>
          <t>___</t>
        </is>
      </c>
      <c r="T4" t="inlineStr">
        <is>
          <t xml:space="preserve">BL </t>
        </is>
      </c>
      <c r="U4" t="n">
        <v>11</v>
      </c>
      <c r="V4" t="n">
        <v>28</v>
      </c>
      <c r="W4" t="inlineStr">
        <is>
          <t>1996-04-14</t>
        </is>
      </c>
      <c r="X4" t="inlineStr">
        <is>
          <t>1996-04-14</t>
        </is>
      </c>
      <c r="Y4" t="inlineStr">
        <is>
          <t>1990-10-16</t>
        </is>
      </c>
      <c r="Z4" t="inlineStr">
        <is>
          <t>1990-10-16</t>
        </is>
      </c>
      <c r="AA4" t="n">
        <v>137</v>
      </c>
      <c r="AB4" t="n">
        <v>125</v>
      </c>
      <c r="AC4" t="n">
        <v>915</v>
      </c>
      <c r="AD4" t="n">
        <v>1</v>
      </c>
      <c r="AE4" t="n">
        <v>5</v>
      </c>
      <c r="AF4" t="n">
        <v>5</v>
      </c>
      <c r="AG4" t="n">
        <v>40</v>
      </c>
      <c r="AH4" t="n">
        <v>3</v>
      </c>
      <c r="AI4" t="n">
        <v>18</v>
      </c>
      <c r="AJ4" t="n">
        <v>0</v>
      </c>
      <c r="AK4" t="n">
        <v>9</v>
      </c>
      <c r="AL4" t="n">
        <v>3</v>
      </c>
      <c r="AM4" t="n">
        <v>19</v>
      </c>
      <c r="AN4" t="n">
        <v>0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4">
        <f>HYPERLINK("http://www.worldcat.org/oclc/1159441","WorldCat Record")</f>
        <v/>
      </c>
      <c r="AW4" t="inlineStr">
        <is>
          <t>4923759231:eng</t>
        </is>
      </c>
      <c r="AX4" t="inlineStr">
        <is>
          <t>1159441</t>
        </is>
      </c>
      <c r="AY4" t="inlineStr">
        <is>
          <t>991003578949702656</t>
        </is>
      </c>
      <c r="AZ4" t="inlineStr">
        <is>
          <t>991003578949702656</t>
        </is>
      </c>
      <c r="BA4" t="inlineStr">
        <is>
          <t>2262255580002656</t>
        </is>
      </c>
      <c r="BB4" t="inlineStr">
        <is>
          <t>BOOK</t>
        </is>
      </c>
      <c r="BE4" t="inlineStr">
        <is>
          <t>32285000349034</t>
        </is>
      </c>
      <c r="BF4" t="inlineStr">
        <is>
          <t>893342712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BL1031 .E6 1962</t>
        </is>
      </c>
      <c r="E5" t="inlineStr">
        <is>
          <t>0                      BL 1031000E  6           1962</t>
        </is>
      </c>
      <c r="F5" t="inlineStr">
        <is>
          <t>Hinduism and Buddhism : an historical sketch.</t>
        </is>
      </c>
      <c r="G5" t="inlineStr">
        <is>
          <t>V.1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Eliot, Charles, 1862-1931.</t>
        </is>
      </c>
      <c r="N5" t="inlineStr">
        <is>
          <t>London : Routledge &amp; K. Paul, 1921, 1962 printing.</t>
        </is>
      </c>
      <c r="O5" t="inlineStr">
        <is>
          <t>1962</t>
        </is>
      </c>
      <c r="Q5" t="inlineStr">
        <is>
          <t>eng</t>
        </is>
      </c>
      <c r="R5" t="inlineStr">
        <is>
          <t>___</t>
        </is>
      </c>
      <c r="T5" t="inlineStr">
        <is>
          <t xml:space="preserve">BL </t>
        </is>
      </c>
      <c r="U5" t="n">
        <v>10</v>
      </c>
      <c r="V5" t="n">
        <v>28</v>
      </c>
      <c r="W5" t="inlineStr">
        <is>
          <t>1996-03-12</t>
        </is>
      </c>
      <c r="X5" t="inlineStr">
        <is>
          <t>1996-04-14</t>
        </is>
      </c>
      <c r="Y5" t="inlineStr">
        <is>
          <t>1990-10-16</t>
        </is>
      </c>
      <c r="Z5" t="inlineStr">
        <is>
          <t>1990-10-16</t>
        </is>
      </c>
      <c r="AA5" t="n">
        <v>137</v>
      </c>
      <c r="AB5" t="n">
        <v>125</v>
      </c>
      <c r="AC5" t="n">
        <v>915</v>
      </c>
      <c r="AD5" t="n">
        <v>1</v>
      </c>
      <c r="AE5" t="n">
        <v>5</v>
      </c>
      <c r="AF5" t="n">
        <v>5</v>
      </c>
      <c r="AG5" t="n">
        <v>40</v>
      </c>
      <c r="AH5" t="n">
        <v>3</v>
      </c>
      <c r="AI5" t="n">
        <v>18</v>
      </c>
      <c r="AJ5" t="n">
        <v>0</v>
      </c>
      <c r="AK5" t="n">
        <v>9</v>
      </c>
      <c r="AL5" t="n">
        <v>3</v>
      </c>
      <c r="AM5" t="n">
        <v>19</v>
      </c>
      <c r="AN5" t="n">
        <v>0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5">
        <f>HYPERLINK("http://www.worldcat.org/oclc/1159441","WorldCat Record")</f>
        <v/>
      </c>
      <c r="AW5" t="inlineStr">
        <is>
          <t>4923759231:eng</t>
        </is>
      </c>
      <c r="AX5" t="inlineStr">
        <is>
          <t>1159441</t>
        </is>
      </c>
      <c r="AY5" t="inlineStr">
        <is>
          <t>991003578949702656</t>
        </is>
      </c>
      <c r="AZ5" t="inlineStr">
        <is>
          <t>991003578949702656</t>
        </is>
      </c>
      <c r="BA5" t="inlineStr">
        <is>
          <t>2262255580002656</t>
        </is>
      </c>
      <c r="BB5" t="inlineStr">
        <is>
          <t>BOOK</t>
        </is>
      </c>
      <c r="BE5" t="inlineStr">
        <is>
          <t>32285000349018</t>
        </is>
      </c>
      <c r="BF5" t="inlineStr">
        <is>
          <t>893348833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BL1031 .R5</t>
        </is>
      </c>
      <c r="E6" t="inlineStr">
        <is>
          <t>0                      BL 1031000R  5</t>
        </is>
      </c>
      <c r="F6" t="inlineStr">
        <is>
          <t>Religions of the Far East : their history to the present day / George C. Ring.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Ring, George C. (Cyril), 1890-</t>
        </is>
      </c>
      <c r="N6" t="inlineStr">
        <is>
          <t>Milwaukee : Bruce, 1950.</t>
        </is>
      </c>
      <c r="O6" t="inlineStr">
        <is>
          <t>1950</t>
        </is>
      </c>
      <c r="Q6" t="inlineStr">
        <is>
          <t>eng</t>
        </is>
      </c>
      <c r="R6" t="inlineStr">
        <is>
          <t xml:space="preserve">xx </t>
        </is>
      </c>
      <c r="S6" t="inlineStr">
        <is>
          <t>Science and culture series</t>
        </is>
      </c>
      <c r="T6" t="inlineStr">
        <is>
          <t xml:space="preserve">BL </t>
        </is>
      </c>
      <c r="U6" t="n">
        <v>8</v>
      </c>
      <c r="V6" t="n">
        <v>8</v>
      </c>
      <c r="W6" t="inlineStr">
        <is>
          <t>1997-07-30</t>
        </is>
      </c>
      <c r="X6" t="inlineStr">
        <is>
          <t>1997-07-30</t>
        </is>
      </c>
      <c r="Y6" t="inlineStr">
        <is>
          <t>1990-10-16</t>
        </is>
      </c>
      <c r="Z6" t="inlineStr">
        <is>
          <t>1990-10-16</t>
        </is>
      </c>
      <c r="AA6" t="n">
        <v>257</v>
      </c>
      <c r="AB6" t="n">
        <v>231</v>
      </c>
      <c r="AC6" t="n">
        <v>232</v>
      </c>
      <c r="AD6" t="n">
        <v>2</v>
      </c>
      <c r="AE6" t="n">
        <v>2</v>
      </c>
      <c r="AF6" t="n">
        <v>27</v>
      </c>
      <c r="AG6" t="n">
        <v>27</v>
      </c>
      <c r="AH6" t="n">
        <v>9</v>
      </c>
      <c r="AI6" t="n">
        <v>9</v>
      </c>
      <c r="AJ6" t="n">
        <v>7</v>
      </c>
      <c r="AK6" t="n">
        <v>7</v>
      </c>
      <c r="AL6" t="n">
        <v>20</v>
      </c>
      <c r="AM6" t="n">
        <v>20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HYPERLINK("http://catalog.hathitrust.org/Record/100952454","HathiTrust Record")</f>
        <v/>
      </c>
      <c r="AU6">
        <f>HYPERLINK("https://creighton-primo.hosted.exlibrisgroup.com/primo-explore/search?tab=default_tab&amp;search_scope=EVERYTHING&amp;vid=01CRU&amp;lang=en_US&amp;offset=0&amp;query=any,contains,991004317479702656","Catalog Record")</f>
        <v/>
      </c>
      <c r="AV6">
        <f>HYPERLINK("http://www.worldcat.org/oclc/3009696","WorldCat Record")</f>
        <v/>
      </c>
      <c r="AW6" t="inlineStr">
        <is>
          <t>6888538:eng</t>
        </is>
      </c>
      <c r="AX6" t="inlineStr">
        <is>
          <t>3009696</t>
        </is>
      </c>
      <c r="AY6" t="inlineStr">
        <is>
          <t>991004317479702656</t>
        </is>
      </c>
      <c r="AZ6" t="inlineStr">
        <is>
          <t>991004317479702656</t>
        </is>
      </c>
      <c r="BA6" t="inlineStr">
        <is>
          <t>2259427280002656</t>
        </is>
      </c>
      <c r="BB6" t="inlineStr">
        <is>
          <t>BOOK</t>
        </is>
      </c>
      <c r="BE6" t="inlineStr">
        <is>
          <t>32285000349042</t>
        </is>
      </c>
      <c r="BF6" t="inlineStr">
        <is>
          <t>893436137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BL1032 .B4</t>
        </is>
      </c>
      <c r="E7" t="inlineStr">
        <is>
          <t>0                      BL 1032000B  4</t>
        </is>
      </c>
      <c r="F7" t="inlineStr">
        <is>
          <t>Religion and progress in modern Asia.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Bellah, Robert N. (Robert Neelly), 1927-2013, editor.</t>
        </is>
      </c>
      <c r="N7" t="inlineStr">
        <is>
          <t>New York, Free Press [1965]</t>
        </is>
      </c>
      <c r="O7" t="inlineStr">
        <is>
          <t>1965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BL </t>
        </is>
      </c>
      <c r="U7" t="n">
        <v>2</v>
      </c>
      <c r="V7" t="n">
        <v>2</v>
      </c>
      <c r="W7" t="inlineStr">
        <is>
          <t>2010-02-23</t>
        </is>
      </c>
      <c r="X7" t="inlineStr">
        <is>
          <t>2010-02-23</t>
        </is>
      </c>
      <c r="Y7" t="inlineStr">
        <is>
          <t>1990-10-16</t>
        </is>
      </c>
      <c r="Z7" t="inlineStr">
        <is>
          <t>1990-10-16</t>
        </is>
      </c>
      <c r="AA7" t="n">
        <v>749</v>
      </c>
      <c r="AB7" t="n">
        <v>603</v>
      </c>
      <c r="AC7" t="n">
        <v>606</v>
      </c>
      <c r="AD7" t="n">
        <v>4</v>
      </c>
      <c r="AE7" t="n">
        <v>4</v>
      </c>
      <c r="AF7" t="n">
        <v>30</v>
      </c>
      <c r="AG7" t="n">
        <v>30</v>
      </c>
      <c r="AH7" t="n">
        <v>11</v>
      </c>
      <c r="AI7" t="n">
        <v>11</v>
      </c>
      <c r="AJ7" t="n">
        <v>6</v>
      </c>
      <c r="AK7" t="n">
        <v>6</v>
      </c>
      <c r="AL7" t="n">
        <v>18</v>
      </c>
      <c r="AM7" t="n">
        <v>18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HYPERLINK("http://catalog.hathitrust.org/Record/001392757","HathiTrust Record")</f>
        <v/>
      </c>
      <c r="AU7">
        <f>HYPERLINK("https://creighton-primo.hosted.exlibrisgroup.com/primo-explore/search?tab=default_tab&amp;search_scope=EVERYTHING&amp;vid=01CRU&amp;lang=en_US&amp;offset=0&amp;query=any,contains,991002609479702656","Catalog Record")</f>
        <v/>
      </c>
      <c r="AV7">
        <f>HYPERLINK("http://www.worldcat.org/oclc/377511","WorldCat Record")</f>
        <v/>
      </c>
      <c r="AW7" t="inlineStr">
        <is>
          <t>791700791:eng</t>
        </is>
      </c>
      <c r="AX7" t="inlineStr">
        <is>
          <t>377511</t>
        </is>
      </c>
      <c r="AY7" t="inlineStr">
        <is>
          <t>991002609479702656</t>
        </is>
      </c>
      <c r="AZ7" t="inlineStr">
        <is>
          <t>991002609479702656</t>
        </is>
      </c>
      <c r="BA7" t="inlineStr">
        <is>
          <t>2260881150002656</t>
        </is>
      </c>
      <c r="BB7" t="inlineStr">
        <is>
          <t>BOOK</t>
        </is>
      </c>
      <c r="BE7" t="inlineStr">
        <is>
          <t>32285000349059</t>
        </is>
      </c>
      <c r="BF7" t="inlineStr">
        <is>
          <t>893792667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BL1032 .J3</t>
        </is>
      </c>
      <c r="E8" t="inlineStr">
        <is>
          <t>0                      BL 1032000J  3</t>
        </is>
      </c>
      <c r="F8" t="inlineStr">
        <is>
          <t>The oriental religions and American thought : nineteenth-century explorations / Carl T. Jackson.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Jackson, Carl T., 1934-</t>
        </is>
      </c>
      <c r="N8" t="inlineStr">
        <is>
          <t>Westport, Conn. : Greenwood Press, 1981.</t>
        </is>
      </c>
      <c r="O8" t="inlineStr">
        <is>
          <t>1981</t>
        </is>
      </c>
      <c r="Q8" t="inlineStr">
        <is>
          <t>eng</t>
        </is>
      </c>
      <c r="R8" t="inlineStr">
        <is>
          <t>ctu</t>
        </is>
      </c>
      <c r="S8" t="inlineStr">
        <is>
          <t>Contributions in American studies, 0084 9227 ; no. 55</t>
        </is>
      </c>
      <c r="T8" t="inlineStr">
        <is>
          <t xml:space="preserve">BL </t>
        </is>
      </c>
      <c r="U8" t="n">
        <v>2</v>
      </c>
      <c r="V8" t="n">
        <v>2</v>
      </c>
      <c r="W8" t="inlineStr">
        <is>
          <t>1996-10-07</t>
        </is>
      </c>
      <c r="X8" t="inlineStr">
        <is>
          <t>1996-10-07</t>
        </is>
      </c>
      <c r="Y8" t="inlineStr">
        <is>
          <t>1990-10-16</t>
        </is>
      </c>
      <c r="Z8" t="inlineStr">
        <is>
          <t>1990-10-16</t>
        </is>
      </c>
      <c r="AA8" t="n">
        <v>617</v>
      </c>
      <c r="AB8" t="n">
        <v>539</v>
      </c>
      <c r="AC8" t="n">
        <v>545</v>
      </c>
      <c r="AD8" t="n">
        <v>3</v>
      </c>
      <c r="AE8" t="n">
        <v>3</v>
      </c>
      <c r="AF8" t="n">
        <v>24</v>
      </c>
      <c r="AG8" t="n">
        <v>24</v>
      </c>
      <c r="AH8" t="n">
        <v>9</v>
      </c>
      <c r="AI8" t="n">
        <v>9</v>
      </c>
      <c r="AJ8" t="n">
        <v>6</v>
      </c>
      <c r="AK8" t="n">
        <v>6</v>
      </c>
      <c r="AL8" t="n">
        <v>15</v>
      </c>
      <c r="AM8" t="n">
        <v>15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HYPERLINK("http://catalog.hathitrust.org/Record/000224117","HathiTrust Record")</f>
        <v/>
      </c>
      <c r="AU8">
        <f>HYPERLINK("https://creighton-primo.hosted.exlibrisgroup.com/primo-explore/search?tab=default_tab&amp;search_scope=EVERYTHING&amp;vid=01CRU&amp;lang=en_US&amp;offset=0&amp;query=any,contains,991005057999702656","Catalog Record")</f>
        <v/>
      </c>
      <c r="AV8">
        <f>HYPERLINK("http://www.worldcat.org/oclc/6914774","WorldCat Record")</f>
        <v/>
      </c>
      <c r="AW8" t="inlineStr">
        <is>
          <t>889272675:eng</t>
        </is>
      </c>
      <c r="AX8" t="inlineStr">
        <is>
          <t>6914774</t>
        </is>
      </c>
      <c r="AY8" t="inlineStr">
        <is>
          <t>991005057999702656</t>
        </is>
      </c>
      <c r="AZ8" t="inlineStr">
        <is>
          <t>991005057999702656</t>
        </is>
      </c>
      <c r="BA8" t="inlineStr">
        <is>
          <t>2262727000002656</t>
        </is>
      </c>
      <c r="BB8" t="inlineStr">
        <is>
          <t>BOOK</t>
        </is>
      </c>
      <c r="BD8" t="inlineStr">
        <is>
          <t>9780313224911</t>
        </is>
      </c>
      <c r="BE8" t="inlineStr">
        <is>
          <t>32285000349067</t>
        </is>
      </c>
      <c r="BF8" t="inlineStr">
        <is>
          <t>893260479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BL1060 .G3</t>
        </is>
      </c>
      <c r="E9" t="inlineStr">
        <is>
          <t>0                      BL 1060000G  3</t>
        </is>
      </c>
      <c r="F9" t="inlineStr">
        <is>
          <t>Thespis; ritual, myth, and drama in the ancient Near East. Foreword by Gilbert Murray.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Gaster, Theodor Herzl, 1906-1992.</t>
        </is>
      </c>
      <c r="N9" t="inlineStr">
        <is>
          <t>New York, Schuman [1950]</t>
        </is>
      </c>
      <c r="O9" t="inlineStr">
        <is>
          <t>1950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BL </t>
        </is>
      </c>
      <c r="U9" t="n">
        <v>3</v>
      </c>
      <c r="V9" t="n">
        <v>3</v>
      </c>
      <c r="W9" t="inlineStr">
        <is>
          <t>1992-05-20</t>
        </is>
      </c>
      <c r="X9" t="inlineStr">
        <is>
          <t>1992-05-20</t>
        </is>
      </c>
      <c r="Y9" t="inlineStr">
        <is>
          <t>1990-10-16</t>
        </is>
      </c>
      <c r="Z9" t="inlineStr">
        <is>
          <t>1990-10-16</t>
        </is>
      </c>
      <c r="AA9" t="n">
        <v>303</v>
      </c>
      <c r="AB9" t="n">
        <v>250</v>
      </c>
      <c r="AC9" t="n">
        <v>938</v>
      </c>
      <c r="AD9" t="n">
        <v>3</v>
      </c>
      <c r="AE9" t="n">
        <v>7</v>
      </c>
      <c r="AF9" t="n">
        <v>12</v>
      </c>
      <c r="AG9" t="n">
        <v>41</v>
      </c>
      <c r="AH9" t="n">
        <v>4</v>
      </c>
      <c r="AI9" t="n">
        <v>15</v>
      </c>
      <c r="AJ9" t="n">
        <v>3</v>
      </c>
      <c r="AK9" t="n">
        <v>8</v>
      </c>
      <c r="AL9" t="n">
        <v>8</v>
      </c>
      <c r="AM9" t="n">
        <v>24</v>
      </c>
      <c r="AN9" t="n">
        <v>2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HYPERLINK("http://catalog.hathitrust.org/Record/000981710","HathiTrust Record")</f>
        <v/>
      </c>
      <c r="AU9">
        <f>HYPERLINK("https://creighton-primo.hosted.exlibrisgroup.com/primo-explore/search?tab=default_tab&amp;search_scope=EVERYTHING&amp;vid=01CRU&amp;lang=en_US&amp;offset=0&amp;query=any,contains,991003794299702656","Catalog Record")</f>
        <v/>
      </c>
      <c r="AV9">
        <f>HYPERLINK("http://www.worldcat.org/oclc/1515052","WorldCat Record")</f>
        <v/>
      </c>
      <c r="AW9" t="inlineStr">
        <is>
          <t>119730411:eng</t>
        </is>
      </c>
      <c r="AX9" t="inlineStr">
        <is>
          <t>1515052</t>
        </is>
      </c>
      <c r="AY9" t="inlineStr">
        <is>
          <t>991003794299702656</t>
        </is>
      </c>
      <c r="AZ9" t="inlineStr">
        <is>
          <t>991003794299702656</t>
        </is>
      </c>
      <c r="BA9" t="inlineStr">
        <is>
          <t>2264030490002656</t>
        </is>
      </c>
      <c r="BB9" t="inlineStr">
        <is>
          <t>BOOK</t>
        </is>
      </c>
      <c r="BE9" t="inlineStr">
        <is>
          <t>32285000349109</t>
        </is>
      </c>
      <c r="BF9" t="inlineStr">
        <is>
          <t>893525233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BL1060 .T44</t>
        </is>
      </c>
      <c r="E10" t="inlineStr">
        <is>
          <t>0                      BL 1060000T  44</t>
        </is>
      </c>
      <c r="F10" t="inlineStr">
        <is>
          <t>The pagan god : popular religion in the Greco-Roman Near East / by Javier Teixidor.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Teixidor, Javier.</t>
        </is>
      </c>
      <c r="N10" t="inlineStr">
        <is>
          <t>Princeton, N.J. : Princeton University Press, c1977.</t>
        </is>
      </c>
      <c r="O10" t="inlineStr">
        <is>
          <t>1977</t>
        </is>
      </c>
      <c r="Q10" t="inlineStr">
        <is>
          <t>eng</t>
        </is>
      </c>
      <c r="R10" t="inlineStr">
        <is>
          <t>nju</t>
        </is>
      </c>
      <c r="T10" t="inlineStr">
        <is>
          <t xml:space="preserve">BL </t>
        </is>
      </c>
      <c r="U10" t="n">
        <v>3</v>
      </c>
      <c r="V10" t="n">
        <v>3</v>
      </c>
      <c r="W10" t="inlineStr">
        <is>
          <t>2001-12-05</t>
        </is>
      </c>
      <c r="X10" t="inlineStr">
        <is>
          <t>2001-12-05</t>
        </is>
      </c>
      <c r="Y10" t="inlineStr">
        <is>
          <t>1990-10-16</t>
        </is>
      </c>
      <c r="Z10" t="inlineStr">
        <is>
          <t>1990-10-16</t>
        </is>
      </c>
      <c r="AA10" t="n">
        <v>587</v>
      </c>
      <c r="AB10" t="n">
        <v>446</v>
      </c>
      <c r="AC10" t="n">
        <v>746</v>
      </c>
      <c r="AD10" t="n">
        <v>3</v>
      </c>
      <c r="AE10" t="n">
        <v>5</v>
      </c>
      <c r="AF10" t="n">
        <v>20</v>
      </c>
      <c r="AG10" t="n">
        <v>30</v>
      </c>
      <c r="AH10" t="n">
        <v>9</v>
      </c>
      <c r="AI10" t="n">
        <v>14</v>
      </c>
      <c r="AJ10" t="n">
        <v>2</v>
      </c>
      <c r="AK10" t="n">
        <v>6</v>
      </c>
      <c r="AL10" t="n">
        <v>13</v>
      </c>
      <c r="AM10" t="n">
        <v>16</v>
      </c>
      <c r="AN10" t="n">
        <v>2</v>
      </c>
      <c r="AO10" t="n">
        <v>3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HYPERLINK("https://creighton-primo.hosted.exlibrisgroup.com/primo-explore/search?tab=default_tab&amp;search_scope=EVERYTHING&amp;vid=01CRU&amp;lang=en_US&amp;offset=0&amp;query=any,contains,991004196709702656","Catalog Record")</f>
        <v/>
      </c>
      <c r="AV10">
        <f>HYPERLINK("http://www.worldcat.org/oclc/2644903","WorldCat Record")</f>
        <v/>
      </c>
      <c r="AW10" t="inlineStr">
        <is>
          <t>889621854:eng</t>
        </is>
      </c>
      <c r="AX10" t="inlineStr">
        <is>
          <t>2644903</t>
        </is>
      </c>
      <c r="AY10" t="inlineStr">
        <is>
          <t>991004196709702656</t>
        </is>
      </c>
      <c r="AZ10" t="inlineStr">
        <is>
          <t>991004196709702656</t>
        </is>
      </c>
      <c r="BA10" t="inlineStr">
        <is>
          <t>2255340830002656</t>
        </is>
      </c>
      <c r="BB10" t="inlineStr">
        <is>
          <t>BOOK</t>
        </is>
      </c>
      <c r="BD10" t="inlineStr">
        <is>
          <t>9780691072203</t>
        </is>
      </c>
      <c r="BE10" t="inlineStr">
        <is>
          <t>32285000349141</t>
        </is>
      </c>
      <c r="BF10" t="inlineStr">
        <is>
          <t>893687473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BL1107 .E2</t>
        </is>
      </c>
      <c r="E11" t="inlineStr">
        <is>
          <t>0                      BL 1107000E  2</t>
        </is>
      </c>
      <c r="F11" t="inlineStr">
        <is>
          <t>The beginnings of Indian philosophy; selections from the Rig Veda, Atharva Veda, Upanisads, and Mahābhārata. Translated from the Sanskrit with and introd., notes and glossarial index.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Edgerton, Franklin, 1885-1963 editor, translator.</t>
        </is>
      </c>
      <c r="N11" t="inlineStr">
        <is>
          <t>Cambridge, Mass., Harvard University Press [1970,c1965]</t>
        </is>
      </c>
      <c r="O11" t="inlineStr">
        <is>
          <t>1970</t>
        </is>
      </c>
      <c r="Q11" t="inlineStr">
        <is>
          <t>eng</t>
        </is>
      </c>
      <c r="R11" t="inlineStr">
        <is>
          <t>___</t>
        </is>
      </c>
      <c r="T11" t="inlineStr">
        <is>
          <t xml:space="preserve">BL </t>
        </is>
      </c>
      <c r="U11" t="n">
        <v>6</v>
      </c>
      <c r="V11" t="n">
        <v>6</v>
      </c>
      <c r="W11" t="inlineStr">
        <is>
          <t>2008-05-02</t>
        </is>
      </c>
      <c r="X11" t="inlineStr">
        <is>
          <t>2008-05-02</t>
        </is>
      </c>
      <c r="Y11" t="inlineStr">
        <is>
          <t>1990-10-16</t>
        </is>
      </c>
      <c r="Z11" t="inlineStr">
        <is>
          <t>1990-10-16</t>
        </is>
      </c>
      <c r="AA11" t="n">
        <v>33</v>
      </c>
      <c r="AB11" t="n">
        <v>33</v>
      </c>
      <c r="AC11" t="n">
        <v>584</v>
      </c>
      <c r="AD11" t="n">
        <v>1</v>
      </c>
      <c r="AE11" t="n">
        <v>3</v>
      </c>
      <c r="AF11" t="n">
        <v>2</v>
      </c>
      <c r="AG11" t="n">
        <v>17</v>
      </c>
      <c r="AH11" t="n">
        <v>1</v>
      </c>
      <c r="AI11" t="n">
        <v>9</v>
      </c>
      <c r="AJ11" t="n">
        <v>0</v>
      </c>
      <c r="AK11" t="n">
        <v>3</v>
      </c>
      <c r="AL11" t="n">
        <v>1</v>
      </c>
      <c r="AM11" t="n">
        <v>6</v>
      </c>
      <c r="AN11" t="n">
        <v>0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HYPERLINK("https://creighton-primo.hosted.exlibrisgroup.com/primo-explore/search?tab=default_tab&amp;search_scope=EVERYTHING&amp;vid=01CRU&amp;lang=en_US&amp;offset=0&amp;query=any,contains,991002461829702656","Catalog Record")</f>
        <v/>
      </c>
      <c r="AV11">
        <f>HYPERLINK("http://www.worldcat.org/oclc/356207","WorldCat Record")</f>
        <v/>
      </c>
      <c r="AW11" t="inlineStr">
        <is>
          <t>890080103:eng</t>
        </is>
      </c>
      <c r="AX11" t="inlineStr">
        <is>
          <t>356207</t>
        </is>
      </c>
      <c r="AY11" t="inlineStr">
        <is>
          <t>991002461829702656</t>
        </is>
      </c>
      <c r="AZ11" t="inlineStr">
        <is>
          <t>991002461829702656</t>
        </is>
      </c>
      <c r="BA11" t="inlineStr">
        <is>
          <t>2265141820002656</t>
        </is>
      </c>
      <c r="BB11" t="inlineStr">
        <is>
          <t>BOOK</t>
        </is>
      </c>
      <c r="BE11" t="inlineStr">
        <is>
          <t>32285000349158</t>
        </is>
      </c>
      <c r="BF11" t="inlineStr">
        <is>
          <t>893616149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BL1107 .G76</t>
        </is>
      </c>
      <c r="E12" t="inlineStr">
        <is>
          <t>0                      BL 1107000G  76</t>
        </is>
      </c>
      <c r="F12" t="inlineStr">
        <is>
          <t>Readings in Vedic literature : the tradition speaks for itself / by Satsvarūpa dāsa Gosvāmī.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Gosvāmī, Satsvarūpa Dāsa, 1939-</t>
        </is>
      </c>
      <c r="N12" t="inlineStr">
        <is>
          <t>New York : Bhaktivedanta Book Trust, c1977.</t>
        </is>
      </c>
      <c r="O12" t="inlineStr">
        <is>
          <t>1977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BL </t>
        </is>
      </c>
      <c r="U12" t="n">
        <v>2</v>
      </c>
      <c r="V12" t="n">
        <v>2</v>
      </c>
      <c r="W12" t="inlineStr">
        <is>
          <t>1995-04-18</t>
        </is>
      </c>
      <c r="X12" t="inlineStr">
        <is>
          <t>1995-04-18</t>
        </is>
      </c>
      <c r="Y12" t="inlineStr">
        <is>
          <t>1990-10-16</t>
        </is>
      </c>
      <c r="Z12" t="inlineStr">
        <is>
          <t>1990-10-16</t>
        </is>
      </c>
      <c r="AA12" t="n">
        <v>224</v>
      </c>
      <c r="AB12" t="n">
        <v>189</v>
      </c>
      <c r="AC12" t="n">
        <v>249</v>
      </c>
      <c r="AD12" t="n">
        <v>4</v>
      </c>
      <c r="AE12" t="n">
        <v>4</v>
      </c>
      <c r="AF12" t="n">
        <v>10</v>
      </c>
      <c r="AG12" t="n">
        <v>14</v>
      </c>
      <c r="AH12" t="n">
        <v>2</v>
      </c>
      <c r="AI12" t="n">
        <v>4</v>
      </c>
      <c r="AJ12" t="n">
        <v>0</v>
      </c>
      <c r="AK12" t="n">
        <v>1</v>
      </c>
      <c r="AL12" t="n">
        <v>5</v>
      </c>
      <c r="AM12" t="n">
        <v>8</v>
      </c>
      <c r="AN12" t="n">
        <v>3</v>
      </c>
      <c r="AO12" t="n">
        <v>3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HYPERLINK("http://catalog.hathitrust.org/Record/000735965","HathiTrust Record")</f>
        <v/>
      </c>
      <c r="AU12">
        <f>HYPERLINK("https://creighton-primo.hosted.exlibrisgroup.com/primo-explore/search?tab=default_tab&amp;search_scope=EVERYTHING&amp;vid=01CRU&amp;lang=en_US&amp;offset=0&amp;query=any,contains,991004278399702656","Catalog Record")</f>
        <v/>
      </c>
      <c r="AV12">
        <f>HYPERLINK("http://www.worldcat.org/oclc/2899134","WorldCat Record")</f>
        <v/>
      </c>
      <c r="AW12" t="inlineStr">
        <is>
          <t>6752672:eng</t>
        </is>
      </c>
      <c r="AX12" t="inlineStr">
        <is>
          <t>2899134</t>
        </is>
      </c>
      <c r="AY12" t="inlineStr">
        <is>
          <t>991004278399702656</t>
        </is>
      </c>
      <c r="AZ12" t="inlineStr">
        <is>
          <t>991004278399702656</t>
        </is>
      </c>
      <c r="BA12" t="inlineStr">
        <is>
          <t>2257570410002656</t>
        </is>
      </c>
      <c r="BB12" t="inlineStr">
        <is>
          <t>BOOK</t>
        </is>
      </c>
      <c r="BD12" t="inlineStr">
        <is>
          <t>9780912776880</t>
        </is>
      </c>
      <c r="BE12" t="inlineStr">
        <is>
          <t>32285000349166</t>
        </is>
      </c>
      <c r="BF12" t="inlineStr">
        <is>
          <t>893722358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BL1110 .V42</t>
        </is>
      </c>
      <c r="E13" t="inlineStr">
        <is>
          <t>0                      BL 1110000V  42</t>
        </is>
      </c>
      <c r="F13" t="inlineStr">
        <is>
          <t>The Vedic experience : Mantramañjarī : an anthology of the Vedas for modern man and contemporary celebration / edited and translated with introductions and notes by Raimundo Panikkar, with the collaboration of N. Shanta ... [et al.].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Berkeley : University of California Press, c1977.</t>
        </is>
      </c>
      <c r="O13" t="inlineStr">
        <is>
          <t>1977</t>
        </is>
      </c>
      <c r="Q13" t="inlineStr">
        <is>
          <t>eng</t>
        </is>
      </c>
      <c r="R13" t="inlineStr">
        <is>
          <t>cau</t>
        </is>
      </c>
      <c r="T13" t="inlineStr">
        <is>
          <t xml:space="preserve">BL </t>
        </is>
      </c>
      <c r="U13" t="n">
        <v>6</v>
      </c>
      <c r="V13" t="n">
        <v>6</v>
      </c>
      <c r="W13" t="inlineStr">
        <is>
          <t>2007-06-18</t>
        </is>
      </c>
      <c r="X13" t="inlineStr">
        <is>
          <t>2007-06-18</t>
        </is>
      </c>
      <c r="Y13" t="inlineStr">
        <is>
          <t>1990-10-16</t>
        </is>
      </c>
      <c r="Z13" t="inlineStr">
        <is>
          <t>1990-10-16</t>
        </is>
      </c>
      <c r="AA13" t="n">
        <v>492</v>
      </c>
      <c r="AB13" t="n">
        <v>439</v>
      </c>
      <c r="AC13" t="n">
        <v>473</v>
      </c>
      <c r="AD13" t="n">
        <v>3</v>
      </c>
      <c r="AE13" t="n">
        <v>3</v>
      </c>
      <c r="AF13" t="n">
        <v>28</v>
      </c>
      <c r="AG13" t="n">
        <v>30</v>
      </c>
      <c r="AH13" t="n">
        <v>10</v>
      </c>
      <c r="AI13" t="n">
        <v>11</v>
      </c>
      <c r="AJ13" t="n">
        <v>7</v>
      </c>
      <c r="AK13" t="n">
        <v>7</v>
      </c>
      <c r="AL13" t="n">
        <v>17</v>
      </c>
      <c r="AM13" t="n">
        <v>18</v>
      </c>
      <c r="AN13" t="n">
        <v>2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HYPERLINK("https://creighton-primo.hosted.exlibrisgroup.com/primo-explore/search?tab=default_tab&amp;search_scope=EVERYTHING&amp;vid=01CRU&amp;lang=en_US&amp;offset=0&amp;query=any,contains,991004388849702656","Catalog Record")</f>
        <v/>
      </c>
      <c r="AV13">
        <f>HYPERLINK("http://www.worldcat.org/oclc/3255332","WorldCat Record")</f>
        <v/>
      </c>
      <c r="AW13" t="inlineStr">
        <is>
          <t>836724892:eng</t>
        </is>
      </c>
      <c r="AX13" t="inlineStr">
        <is>
          <t>3255332</t>
        </is>
      </c>
      <c r="AY13" t="inlineStr">
        <is>
          <t>991004388849702656</t>
        </is>
      </c>
      <c r="AZ13" t="inlineStr">
        <is>
          <t>991004388849702656</t>
        </is>
      </c>
      <c r="BA13" t="inlineStr">
        <is>
          <t>2272431090002656</t>
        </is>
      </c>
      <c r="BB13" t="inlineStr">
        <is>
          <t>BOOK</t>
        </is>
      </c>
      <c r="BD13" t="inlineStr">
        <is>
          <t>9780520028548</t>
        </is>
      </c>
      <c r="BE13" t="inlineStr">
        <is>
          <t>32285000349182</t>
        </is>
      </c>
      <c r="BF13" t="inlineStr">
        <is>
          <t>893628137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BL1135 .P6213</t>
        </is>
      </c>
      <c r="E14" t="inlineStr">
        <is>
          <t>0                      BL 1135000P  6213</t>
        </is>
      </c>
      <c r="F14" t="inlineStr">
        <is>
          <t>Classical Hindu mythology : a reader in the Sanskrit Purāṇas / edited and translated by Cornelia Dimmitt and J. A. B. van Buitenen.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Puranas. Selections. English.</t>
        </is>
      </c>
      <c r="N14" t="inlineStr">
        <is>
          <t>Philadelphia : Temple University Press, c1978.</t>
        </is>
      </c>
      <c r="O14" t="inlineStr">
        <is>
          <t>1978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BL </t>
        </is>
      </c>
      <c r="U14" t="n">
        <v>15</v>
      </c>
      <c r="V14" t="n">
        <v>15</v>
      </c>
      <c r="W14" t="inlineStr">
        <is>
          <t>2003-12-01</t>
        </is>
      </c>
      <c r="X14" t="inlineStr">
        <is>
          <t>2003-12-01</t>
        </is>
      </c>
      <c r="Y14" t="inlineStr">
        <is>
          <t>1990-10-16</t>
        </is>
      </c>
      <c r="Z14" t="inlineStr">
        <is>
          <t>1990-10-16</t>
        </is>
      </c>
      <c r="AA14" t="n">
        <v>807</v>
      </c>
      <c r="AB14" t="n">
        <v>689</v>
      </c>
      <c r="AC14" t="n">
        <v>718</v>
      </c>
      <c r="AD14" t="n">
        <v>3</v>
      </c>
      <c r="AE14" t="n">
        <v>3</v>
      </c>
      <c r="AF14" t="n">
        <v>39</v>
      </c>
      <c r="AG14" t="n">
        <v>39</v>
      </c>
      <c r="AH14" t="n">
        <v>20</v>
      </c>
      <c r="AI14" t="n">
        <v>20</v>
      </c>
      <c r="AJ14" t="n">
        <v>9</v>
      </c>
      <c r="AK14" t="n">
        <v>9</v>
      </c>
      <c r="AL14" t="n">
        <v>20</v>
      </c>
      <c r="AM14" t="n">
        <v>20</v>
      </c>
      <c r="AN14" t="n">
        <v>2</v>
      </c>
      <c r="AO14" t="n">
        <v>2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HYPERLINK("https://creighton-primo.hosted.exlibrisgroup.com/primo-explore/search?tab=default_tab&amp;search_scope=EVERYTHING&amp;vid=01CRU&amp;lang=en_US&amp;offset=0&amp;query=any,contains,991004534709702656","Catalog Record")</f>
        <v/>
      </c>
      <c r="AV14">
        <f>HYPERLINK("http://www.worldcat.org/oclc/3868975","WorldCat Record")</f>
        <v/>
      </c>
      <c r="AW14" t="inlineStr">
        <is>
          <t>889917834:eng</t>
        </is>
      </c>
      <c r="AX14" t="inlineStr">
        <is>
          <t>3868975</t>
        </is>
      </c>
      <c r="AY14" t="inlineStr">
        <is>
          <t>991004534709702656</t>
        </is>
      </c>
      <c r="AZ14" t="inlineStr">
        <is>
          <t>991004534709702656</t>
        </is>
      </c>
      <c r="BA14" t="inlineStr">
        <is>
          <t>2262820710002656</t>
        </is>
      </c>
      <c r="BB14" t="inlineStr">
        <is>
          <t>BOOK</t>
        </is>
      </c>
      <c r="BD14" t="inlineStr">
        <is>
          <t>9780877221173</t>
        </is>
      </c>
      <c r="BE14" t="inlineStr">
        <is>
          <t>32285000349331</t>
        </is>
      </c>
      <c r="BF14" t="inlineStr">
        <is>
          <t>893687839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BL1175.B445 G67 v...</t>
        </is>
      </c>
      <c r="E15" t="inlineStr">
        <is>
          <t>0                      BL 1175000B  445                G  67                                v...</t>
        </is>
      </c>
      <c r="F15" t="inlineStr">
        <is>
          <t>Srīla Prabhupāda-līlāmrta : a biography of His Divine Grace A.C. Bhaktivedanta Swami Prabhupāda / Satsvarūpa dāsa Goswami.</t>
        </is>
      </c>
      <c r="G15" t="inlineStr">
        <is>
          <t>V. 3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Gosvāmī, Satsvarūpa Dāsa, 1939-</t>
        </is>
      </c>
      <c r="N15" t="inlineStr">
        <is>
          <t>Los Angeles, Calif. : Bhaktivedanta Book Trust, c1980-</t>
        </is>
      </c>
      <c r="O15" t="inlineStr">
        <is>
          <t>1980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BL </t>
        </is>
      </c>
      <c r="U15" t="n">
        <v>0</v>
      </c>
      <c r="V15" t="n">
        <v>1</v>
      </c>
      <c r="X15" t="inlineStr">
        <is>
          <t>1995-04-20</t>
        </is>
      </c>
      <c r="Y15" t="inlineStr">
        <is>
          <t>2005-07-06</t>
        </is>
      </c>
      <c r="Z15" t="inlineStr">
        <is>
          <t>2005-07-06</t>
        </is>
      </c>
      <c r="AA15" t="n">
        <v>475</v>
      </c>
      <c r="AB15" t="n">
        <v>423</v>
      </c>
      <c r="AC15" t="n">
        <v>470</v>
      </c>
      <c r="AD15" t="n">
        <v>4</v>
      </c>
      <c r="AE15" t="n">
        <v>4</v>
      </c>
      <c r="AF15" t="n">
        <v>24</v>
      </c>
      <c r="AG15" t="n">
        <v>25</v>
      </c>
      <c r="AH15" t="n">
        <v>12</v>
      </c>
      <c r="AI15" t="n">
        <v>12</v>
      </c>
      <c r="AJ15" t="n">
        <v>5</v>
      </c>
      <c r="AK15" t="n">
        <v>5</v>
      </c>
      <c r="AL15" t="n">
        <v>11</v>
      </c>
      <c r="AM15" t="n">
        <v>12</v>
      </c>
      <c r="AN15" t="n">
        <v>3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HYPERLINK("http://catalog.hathitrust.org/Record/000692978","HathiTrust Record")</f>
        <v/>
      </c>
      <c r="AU15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5">
        <f>HYPERLINK("http://www.worldcat.org/oclc/6042746","WorldCat Record")</f>
        <v/>
      </c>
      <c r="AW15" t="inlineStr">
        <is>
          <t>3374187413:eng</t>
        </is>
      </c>
      <c r="AX15" t="inlineStr">
        <is>
          <t>6042746</t>
        </is>
      </c>
      <c r="AY15" t="inlineStr">
        <is>
          <t>991004919799702656</t>
        </is>
      </c>
      <c r="AZ15" t="inlineStr">
        <is>
          <t>991004919799702656</t>
        </is>
      </c>
      <c r="BA15" t="inlineStr">
        <is>
          <t>2256394520002656</t>
        </is>
      </c>
      <c r="BB15" t="inlineStr">
        <is>
          <t>BOOK</t>
        </is>
      </c>
      <c r="BE15" t="inlineStr">
        <is>
          <t>32285000349851</t>
        </is>
      </c>
      <c r="BF15" t="inlineStr">
        <is>
          <t>893612910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BL1175.B445 G67 v...</t>
        </is>
      </c>
      <c r="E16" t="inlineStr">
        <is>
          <t>0                      BL 1175000B  445                G  67                                v...</t>
        </is>
      </c>
      <c r="F16" t="inlineStr">
        <is>
          <t>Srīla Prabhupāda-līlāmrta : a biography of His Divine Grace A.C. Bhaktivedanta Swami Prabhupāda / Satsvarūpa dāsa Goswami.</t>
        </is>
      </c>
      <c r="G16" t="inlineStr">
        <is>
          <t>V. 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Gosvāmī, Satsvarūpa Dāsa, 1939-</t>
        </is>
      </c>
      <c r="N16" t="inlineStr">
        <is>
          <t>Los Angeles, Calif. : Bhaktivedanta Book Trust, c1980-</t>
        </is>
      </c>
      <c r="O16" t="inlineStr">
        <is>
          <t>1980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BL </t>
        </is>
      </c>
      <c r="U16" t="n">
        <v>0</v>
      </c>
      <c r="V16" t="n">
        <v>1</v>
      </c>
      <c r="X16" t="inlineStr">
        <is>
          <t>1995-04-20</t>
        </is>
      </c>
      <c r="Y16" t="inlineStr">
        <is>
          <t>2005-07-06</t>
        </is>
      </c>
      <c r="Z16" t="inlineStr">
        <is>
          <t>2005-07-06</t>
        </is>
      </c>
      <c r="AA16" t="n">
        <v>475</v>
      </c>
      <c r="AB16" t="n">
        <v>423</v>
      </c>
      <c r="AC16" t="n">
        <v>470</v>
      </c>
      <c r="AD16" t="n">
        <v>4</v>
      </c>
      <c r="AE16" t="n">
        <v>4</v>
      </c>
      <c r="AF16" t="n">
        <v>24</v>
      </c>
      <c r="AG16" t="n">
        <v>25</v>
      </c>
      <c r="AH16" t="n">
        <v>12</v>
      </c>
      <c r="AI16" t="n">
        <v>12</v>
      </c>
      <c r="AJ16" t="n">
        <v>5</v>
      </c>
      <c r="AK16" t="n">
        <v>5</v>
      </c>
      <c r="AL16" t="n">
        <v>11</v>
      </c>
      <c r="AM16" t="n">
        <v>12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HYPERLINK("http://catalog.hathitrust.org/Record/000692978","HathiTrust Record")</f>
        <v/>
      </c>
      <c r="AU16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6">
        <f>HYPERLINK("http://www.worldcat.org/oclc/6042746","WorldCat Record")</f>
        <v/>
      </c>
      <c r="AW16" t="inlineStr">
        <is>
          <t>3374187413:eng</t>
        </is>
      </c>
      <c r="AX16" t="inlineStr">
        <is>
          <t>6042746</t>
        </is>
      </c>
      <c r="AY16" t="inlineStr">
        <is>
          <t>991004919799702656</t>
        </is>
      </c>
      <c r="AZ16" t="inlineStr">
        <is>
          <t>991004919799702656</t>
        </is>
      </c>
      <c r="BA16" t="inlineStr">
        <is>
          <t>2256394520002656</t>
        </is>
      </c>
      <c r="BB16" t="inlineStr">
        <is>
          <t>BOOK</t>
        </is>
      </c>
      <c r="BE16" t="inlineStr">
        <is>
          <t>32285000349844</t>
        </is>
      </c>
      <c r="BF16" t="inlineStr">
        <is>
          <t>893612911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BL1175.B445 G67 v...</t>
        </is>
      </c>
      <c r="E17" t="inlineStr">
        <is>
          <t>0                      BL 1175000B  445                G  67                                v...</t>
        </is>
      </c>
      <c r="F17" t="inlineStr">
        <is>
          <t>Srīla Prabhupāda-līlāmrta : a biography of His Divine Grace A.C. Bhaktivedanta Swami Prabhupāda / Satsvarūpa dāsa Goswami.</t>
        </is>
      </c>
      <c r="G17" t="inlineStr">
        <is>
          <t>V. 1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Gosvāmī, Satsvarūpa Dāsa, 1939-</t>
        </is>
      </c>
      <c r="N17" t="inlineStr">
        <is>
          <t>Los Angeles, Calif. : Bhaktivedanta Book Trust, c1980-</t>
        </is>
      </c>
      <c r="O17" t="inlineStr">
        <is>
          <t>1980</t>
        </is>
      </c>
      <c r="Q17" t="inlineStr">
        <is>
          <t>eng</t>
        </is>
      </c>
      <c r="R17" t="inlineStr">
        <is>
          <t>cau</t>
        </is>
      </c>
      <c r="T17" t="inlineStr">
        <is>
          <t xml:space="preserve">BL </t>
        </is>
      </c>
      <c r="U17" t="n">
        <v>1</v>
      </c>
      <c r="V17" t="n">
        <v>1</v>
      </c>
      <c r="W17" t="inlineStr">
        <is>
          <t>1995-04-20</t>
        </is>
      </c>
      <c r="X17" t="inlineStr">
        <is>
          <t>1995-04-20</t>
        </is>
      </c>
      <c r="Y17" t="inlineStr">
        <is>
          <t>1990-10-16</t>
        </is>
      </c>
      <c r="Z17" t="inlineStr">
        <is>
          <t>2005-07-06</t>
        </is>
      </c>
      <c r="AA17" t="n">
        <v>475</v>
      </c>
      <c r="AB17" t="n">
        <v>423</v>
      </c>
      <c r="AC17" t="n">
        <v>470</v>
      </c>
      <c r="AD17" t="n">
        <v>4</v>
      </c>
      <c r="AE17" t="n">
        <v>4</v>
      </c>
      <c r="AF17" t="n">
        <v>24</v>
      </c>
      <c r="AG17" t="n">
        <v>25</v>
      </c>
      <c r="AH17" t="n">
        <v>12</v>
      </c>
      <c r="AI17" t="n">
        <v>12</v>
      </c>
      <c r="AJ17" t="n">
        <v>5</v>
      </c>
      <c r="AK17" t="n">
        <v>5</v>
      </c>
      <c r="AL17" t="n">
        <v>11</v>
      </c>
      <c r="AM17" t="n">
        <v>12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HYPERLINK("http://catalog.hathitrust.org/Record/000692978","HathiTrust Record")</f>
        <v/>
      </c>
      <c r="AU17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7">
        <f>HYPERLINK("http://www.worldcat.org/oclc/6042746","WorldCat Record")</f>
        <v/>
      </c>
      <c r="AW17" t="inlineStr">
        <is>
          <t>3374187413:eng</t>
        </is>
      </c>
      <c r="AX17" t="inlineStr">
        <is>
          <t>6042746</t>
        </is>
      </c>
      <c r="AY17" t="inlineStr">
        <is>
          <t>991004919799702656</t>
        </is>
      </c>
      <c r="AZ17" t="inlineStr">
        <is>
          <t>991004919799702656</t>
        </is>
      </c>
      <c r="BA17" t="inlineStr">
        <is>
          <t>2256394520002656</t>
        </is>
      </c>
      <c r="BB17" t="inlineStr">
        <is>
          <t>BOOK</t>
        </is>
      </c>
      <c r="BE17" t="inlineStr">
        <is>
          <t>32285000349836</t>
        </is>
      </c>
      <c r="BF17" t="inlineStr">
        <is>
          <t>893594231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BL1225.G34 C7 1985</t>
        </is>
      </c>
      <c r="E18" t="inlineStr">
        <is>
          <t>0                      BL 1225000G  34                 C  7           1985</t>
        </is>
      </c>
      <c r="F18" t="inlineStr">
        <is>
          <t>Ganeśa : lord of obstacles, lord of beginnings / Paul B. Courtright.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Courtright, Paul B.</t>
        </is>
      </c>
      <c r="N18" t="inlineStr">
        <is>
          <t>New York : Oxford University Press, 1985.</t>
        </is>
      </c>
      <c r="O18" t="inlineStr">
        <is>
          <t>1985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BL </t>
        </is>
      </c>
      <c r="U18" t="n">
        <v>2</v>
      </c>
      <c r="V18" t="n">
        <v>2</v>
      </c>
      <c r="W18" t="inlineStr">
        <is>
          <t>2008-06-10</t>
        </is>
      </c>
      <c r="X18" t="inlineStr">
        <is>
          <t>2008-06-10</t>
        </is>
      </c>
      <c r="Y18" t="inlineStr">
        <is>
          <t>2008-06-10</t>
        </is>
      </c>
      <c r="Z18" t="inlineStr">
        <is>
          <t>2008-06-10</t>
        </is>
      </c>
      <c r="AA18" t="n">
        <v>491</v>
      </c>
      <c r="AB18" t="n">
        <v>405</v>
      </c>
      <c r="AC18" t="n">
        <v>441</v>
      </c>
      <c r="AD18" t="n">
        <v>3</v>
      </c>
      <c r="AE18" t="n">
        <v>3</v>
      </c>
      <c r="AF18" t="n">
        <v>29</v>
      </c>
      <c r="AG18" t="n">
        <v>29</v>
      </c>
      <c r="AH18" t="n">
        <v>13</v>
      </c>
      <c r="AI18" t="n">
        <v>13</v>
      </c>
      <c r="AJ18" t="n">
        <v>5</v>
      </c>
      <c r="AK18" t="n">
        <v>5</v>
      </c>
      <c r="AL18" t="n">
        <v>19</v>
      </c>
      <c r="AM18" t="n">
        <v>19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HYPERLINK("http://catalog.hathitrust.org/Record/000424291","HathiTrust Record")</f>
        <v/>
      </c>
      <c r="AU18">
        <f>HYPERLINK("https://creighton-primo.hosted.exlibrisgroup.com/primo-explore/search?tab=default_tab&amp;search_scope=EVERYTHING&amp;vid=01CRU&amp;lang=en_US&amp;offset=0&amp;query=any,contains,991005233059702656","Catalog Record")</f>
        <v/>
      </c>
      <c r="AV18">
        <f>HYPERLINK("http://www.worldcat.org/oclc/11398513","WorldCat Record")</f>
        <v/>
      </c>
      <c r="AW18" t="inlineStr">
        <is>
          <t>4164643:eng</t>
        </is>
      </c>
      <c r="AX18" t="inlineStr">
        <is>
          <t>11398513</t>
        </is>
      </c>
      <c r="AY18" t="inlineStr">
        <is>
          <t>991005233059702656</t>
        </is>
      </c>
      <c r="AZ18" t="inlineStr">
        <is>
          <t>991005233059702656</t>
        </is>
      </c>
      <c r="BA18" t="inlineStr">
        <is>
          <t>2270370180002656</t>
        </is>
      </c>
      <c r="BB18" t="inlineStr">
        <is>
          <t>BOOK</t>
        </is>
      </c>
      <c r="BD18" t="inlineStr">
        <is>
          <t>9780195035728</t>
        </is>
      </c>
      <c r="BE18" t="inlineStr">
        <is>
          <t>32285005444202</t>
        </is>
      </c>
      <c r="BF18" t="inlineStr">
        <is>
          <t>893902336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BL1245.V36 B48</t>
        </is>
      </c>
      <c r="E19" t="inlineStr">
        <is>
          <t>0                      BL 1245000V  36                 B  48</t>
        </is>
      </c>
      <c r="F19" t="inlineStr">
        <is>
          <t>Teachings of Lord Chaitanya; a treatise on factual spiritual life / by A. C. Bhaktivedanta Swami.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A. C. Bhaktivedanta Swami Prabhupāda, 1896-1977.</t>
        </is>
      </c>
      <c r="N19" t="inlineStr">
        <is>
          <t>New York, International Society for Krishna Consciousness [c1968]</t>
        </is>
      </c>
      <c r="O19" t="inlineStr">
        <is>
          <t>1968</t>
        </is>
      </c>
      <c r="P19" t="inlineStr">
        <is>
          <t>[1st ed.]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BL </t>
        </is>
      </c>
      <c r="U19" t="n">
        <v>2</v>
      </c>
      <c r="V19" t="n">
        <v>2</v>
      </c>
      <c r="W19" t="inlineStr">
        <is>
          <t>1995-04-17</t>
        </is>
      </c>
      <c r="X19" t="inlineStr">
        <is>
          <t>1995-04-17</t>
        </is>
      </c>
      <c r="Y19" t="inlineStr">
        <is>
          <t>1990-10-16</t>
        </is>
      </c>
      <c r="Z19" t="inlineStr">
        <is>
          <t>1990-10-16</t>
        </is>
      </c>
      <c r="AA19" t="n">
        <v>331</v>
      </c>
      <c r="AB19" t="n">
        <v>292</v>
      </c>
      <c r="AC19" t="n">
        <v>303</v>
      </c>
      <c r="AD19" t="n">
        <v>2</v>
      </c>
      <c r="AE19" t="n">
        <v>2</v>
      </c>
      <c r="AF19" t="n">
        <v>19</v>
      </c>
      <c r="AG19" t="n">
        <v>19</v>
      </c>
      <c r="AH19" t="n">
        <v>8</v>
      </c>
      <c r="AI19" t="n">
        <v>8</v>
      </c>
      <c r="AJ19" t="n">
        <v>2</v>
      </c>
      <c r="AK19" t="n">
        <v>2</v>
      </c>
      <c r="AL19" t="n">
        <v>14</v>
      </c>
      <c r="AM19" t="n">
        <v>14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HYPERLINK("http://catalog.hathitrust.org/Record/001393924","HathiTrust Record")</f>
        <v/>
      </c>
      <c r="AU19">
        <f>HYPERLINK("https://creighton-primo.hosted.exlibrisgroup.com/primo-explore/search?tab=default_tab&amp;search_scope=EVERYTHING&amp;vid=01CRU&amp;lang=en_US&amp;offset=0&amp;query=any,contains,991000001819702656","Catalog Record")</f>
        <v/>
      </c>
      <c r="AV19">
        <f>HYPERLINK("http://www.worldcat.org/oclc/10729","WorldCat Record")</f>
        <v/>
      </c>
      <c r="AW19" t="inlineStr">
        <is>
          <t>5608784128:eng</t>
        </is>
      </c>
      <c r="AX19" t="inlineStr">
        <is>
          <t>10729</t>
        </is>
      </c>
      <c r="AY19" t="inlineStr">
        <is>
          <t>991000001819702656</t>
        </is>
      </c>
      <c r="AZ19" t="inlineStr">
        <is>
          <t>991000001819702656</t>
        </is>
      </c>
      <c r="BA19" t="inlineStr">
        <is>
          <t>2268080230002656</t>
        </is>
      </c>
      <c r="BB19" t="inlineStr">
        <is>
          <t>BOOK</t>
        </is>
      </c>
      <c r="BE19" t="inlineStr">
        <is>
          <t>32285000350016</t>
        </is>
      </c>
      <c r="BF19" t="inlineStr">
        <is>
          <t>893714207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BL1255.D3 J67</t>
        </is>
      </c>
      <c r="E20" t="inlineStr">
        <is>
          <t>0                      BL 1255000D  3                  J  67</t>
        </is>
      </c>
      <c r="F20" t="inlineStr">
        <is>
          <t>Dayānanda Sarasvatī, his life and ideas / J. T. F. Jordens.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Jordens, J. T. F.</t>
        </is>
      </c>
      <c r="N20" t="inlineStr">
        <is>
          <t>Delhi : Oxford University Press, 1978.</t>
        </is>
      </c>
      <c r="O20" t="inlineStr">
        <is>
          <t>1978</t>
        </is>
      </c>
      <c r="Q20" t="inlineStr">
        <is>
          <t>eng</t>
        </is>
      </c>
      <c r="R20" t="inlineStr">
        <is>
          <t xml:space="preserve">ii </t>
        </is>
      </c>
      <c r="T20" t="inlineStr">
        <is>
          <t xml:space="preserve">BL </t>
        </is>
      </c>
      <c r="U20" t="n">
        <v>3</v>
      </c>
      <c r="V20" t="n">
        <v>3</v>
      </c>
      <c r="W20" t="inlineStr">
        <is>
          <t>1999-11-07</t>
        </is>
      </c>
      <c r="X20" t="inlineStr">
        <is>
          <t>1999-11-07</t>
        </is>
      </c>
      <c r="Y20" t="inlineStr">
        <is>
          <t>1990-10-16</t>
        </is>
      </c>
      <c r="Z20" t="inlineStr">
        <is>
          <t>1990-10-16</t>
        </is>
      </c>
      <c r="AA20" t="n">
        <v>302</v>
      </c>
      <c r="AB20" t="n">
        <v>228</v>
      </c>
      <c r="AC20" t="n">
        <v>255</v>
      </c>
      <c r="AD20" t="n">
        <v>2</v>
      </c>
      <c r="AE20" t="n">
        <v>2</v>
      </c>
      <c r="AF20" t="n">
        <v>5</v>
      </c>
      <c r="AG20" t="n">
        <v>9</v>
      </c>
      <c r="AH20" t="n">
        <v>1</v>
      </c>
      <c r="AI20" t="n">
        <v>3</v>
      </c>
      <c r="AJ20" t="n">
        <v>3</v>
      </c>
      <c r="AK20" t="n">
        <v>3</v>
      </c>
      <c r="AL20" t="n">
        <v>2</v>
      </c>
      <c r="AM20" t="n">
        <v>6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HYPERLINK("http://catalog.hathitrust.org/Record/000756656","HathiTrust Record")</f>
        <v/>
      </c>
      <c r="AU20">
        <f>HYPERLINK("https://creighton-primo.hosted.exlibrisgroup.com/primo-explore/search?tab=default_tab&amp;search_scope=EVERYTHING&amp;vid=01CRU&amp;lang=en_US&amp;offset=0&amp;query=any,contains,991004818119702656","Catalog Record")</f>
        <v/>
      </c>
      <c r="AV20">
        <f>HYPERLINK("http://www.worldcat.org/oclc/5312403","WorldCat Record")</f>
        <v/>
      </c>
      <c r="AW20" t="inlineStr">
        <is>
          <t>17333185:eng</t>
        </is>
      </c>
      <c r="AX20" t="inlineStr">
        <is>
          <t>5312403</t>
        </is>
      </c>
      <c r="AY20" t="inlineStr">
        <is>
          <t>991004818119702656</t>
        </is>
      </c>
      <c r="AZ20" t="inlineStr">
        <is>
          <t>991004818119702656</t>
        </is>
      </c>
      <c r="BA20" t="inlineStr">
        <is>
          <t>2264879300002656</t>
        </is>
      </c>
      <c r="BB20" t="inlineStr">
        <is>
          <t>BOOK</t>
        </is>
      </c>
      <c r="BD20" t="inlineStr">
        <is>
          <t>9780195609950</t>
        </is>
      </c>
      <c r="BE20" t="inlineStr">
        <is>
          <t>32285000350024</t>
        </is>
      </c>
      <c r="BF20" t="inlineStr">
        <is>
          <t>893241874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BL1270 .M379 1989</t>
        </is>
      </c>
      <c r="E21" t="inlineStr">
        <is>
          <t>0                      BL 1270000M  379         1989</t>
        </is>
      </c>
      <c r="F21" t="inlineStr">
        <is>
          <t>Listen, humanity / by Meher Baba ; narrated and edited by D. E. Stevens.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Meher Baba, 1894-1969.</t>
        </is>
      </c>
      <c r="N21" t="inlineStr">
        <is>
          <t>Jersey, Channel Islands : Companion Books, 1989.</t>
        </is>
      </c>
      <c r="O21" t="inlineStr">
        <is>
          <t>1989</t>
        </is>
      </c>
      <c r="P21" t="inlineStr">
        <is>
          <t>4th ed.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BL </t>
        </is>
      </c>
      <c r="U21" t="n">
        <v>3</v>
      </c>
      <c r="V21" t="n">
        <v>3</v>
      </c>
      <c r="W21" t="inlineStr">
        <is>
          <t>2000-04-02</t>
        </is>
      </c>
      <c r="X21" t="inlineStr">
        <is>
          <t>2000-04-02</t>
        </is>
      </c>
      <c r="Y21" t="inlineStr">
        <is>
          <t>1997-08-29</t>
        </is>
      </c>
      <c r="Z21" t="inlineStr">
        <is>
          <t>1997-08-29</t>
        </is>
      </c>
      <c r="AA21" t="n">
        <v>34</v>
      </c>
      <c r="AB21" t="n">
        <v>17</v>
      </c>
      <c r="AC21" t="n">
        <v>897</v>
      </c>
      <c r="AD21" t="n">
        <v>1</v>
      </c>
      <c r="AE21" t="n">
        <v>9</v>
      </c>
      <c r="AF21" t="n">
        <v>0</v>
      </c>
      <c r="AG21" t="n">
        <v>32</v>
      </c>
      <c r="AH21" t="n">
        <v>0</v>
      </c>
      <c r="AI21" t="n">
        <v>11</v>
      </c>
      <c r="AJ21" t="n">
        <v>0</v>
      </c>
      <c r="AK21" t="n">
        <v>7</v>
      </c>
      <c r="AL21" t="n">
        <v>0</v>
      </c>
      <c r="AM21" t="n">
        <v>13</v>
      </c>
      <c r="AN21" t="n">
        <v>0</v>
      </c>
      <c r="AO21" t="n">
        <v>8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HYPERLINK("http://catalog.hathitrust.org/Record/006620039","HathiTrust Record")</f>
        <v/>
      </c>
      <c r="AU21">
        <f>HYPERLINK("https://creighton-primo.hosted.exlibrisgroup.com/primo-explore/search?tab=default_tab&amp;search_scope=EVERYTHING&amp;vid=01CRU&amp;lang=en_US&amp;offset=0&amp;query=any,contains,991002298489702656","Catalog Record")</f>
        <v/>
      </c>
      <c r="AV21">
        <f>HYPERLINK("http://www.worldcat.org/oclc/29840306","WorldCat Record")</f>
        <v/>
      </c>
      <c r="AW21" t="inlineStr">
        <is>
          <t>628203:eng</t>
        </is>
      </c>
      <c r="AX21" t="inlineStr">
        <is>
          <t>29840306</t>
        </is>
      </c>
      <c r="AY21" t="inlineStr">
        <is>
          <t>991002298489702656</t>
        </is>
      </c>
      <c r="AZ21" t="inlineStr">
        <is>
          <t>991002298489702656</t>
        </is>
      </c>
      <c r="BA21" t="inlineStr">
        <is>
          <t>2266691490002656</t>
        </is>
      </c>
      <c r="BB21" t="inlineStr">
        <is>
          <t>BOOK</t>
        </is>
      </c>
      <c r="BD21" t="inlineStr">
        <is>
          <t>9782950114969</t>
        </is>
      </c>
      <c r="BE21" t="inlineStr">
        <is>
          <t>32285003002739</t>
        </is>
      </c>
      <c r="BF21" t="inlineStr">
        <is>
          <t>893347333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BL1270.G4 Z3 1971</t>
        </is>
      </c>
      <c r="E22" t="inlineStr">
        <is>
          <t>0                      BL 1270000G  4                  Z  3           1971</t>
        </is>
      </c>
      <c r="F22" t="inlineStr">
        <is>
          <t>Evolution in religion : a study in Sri Aurobindo and Pierre Teilhard de Chardin / by R. C. Zaehner.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Zaehner, R. C. (Robert Charles), 1913-1974.</t>
        </is>
      </c>
      <c r="N22" t="inlineStr">
        <is>
          <t>Oxford : Clarendon Press, 1971.</t>
        </is>
      </c>
      <c r="O22" t="inlineStr">
        <is>
          <t>1971</t>
        </is>
      </c>
      <c r="Q22" t="inlineStr">
        <is>
          <t>eng</t>
        </is>
      </c>
      <c r="R22" t="inlineStr">
        <is>
          <t>enk</t>
        </is>
      </c>
      <c r="T22" t="inlineStr">
        <is>
          <t xml:space="preserve">BL </t>
        </is>
      </c>
      <c r="U22" t="n">
        <v>3</v>
      </c>
      <c r="V22" t="n">
        <v>3</v>
      </c>
      <c r="W22" t="inlineStr">
        <is>
          <t>2002-03-18</t>
        </is>
      </c>
      <c r="X22" t="inlineStr">
        <is>
          <t>2002-03-18</t>
        </is>
      </c>
      <c r="Y22" t="inlineStr">
        <is>
          <t>1991-01-03</t>
        </is>
      </c>
      <c r="Z22" t="inlineStr">
        <is>
          <t>1991-01-03</t>
        </is>
      </c>
      <c r="AA22" t="n">
        <v>585</v>
      </c>
      <c r="AB22" t="n">
        <v>460</v>
      </c>
      <c r="AC22" t="n">
        <v>462</v>
      </c>
      <c r="AD22" t="n">
        <v>6</v>
      </c>
      <c r="AE22" t="n">
        <v>6</v>
      </c>
      <c r="AF22" t="n">
        <v>29</v>
      </c>
      <c r="AG22" t="n">
        <v>29</v>
      </c>
      <c r="AH22" t="n">
        <v>6</v>
      </c>
      <c r="AI22" t="n">
        <v>6</v>
      </c>
      <c r="AJ22" t="n">
        <v>9</v>
      </c>
      <c r="AK22" t="n">
        <v>9</v>
      </c>
      <c r="AL22" t="n">
        <v>15</v>
      </c>
      <c r="AM22" t="n">
        <v>15</v>
      </c>
      <c r="AN22" t="n">
        <v>5</v>
      </c>
      <c r="AO22" t="n">
        <v>5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HYPERLINK("http://catalog.hathitrust.org/Record/001393987","HathiTrust Record")</f>
        <v/>
      </c>
      <c r="AU22">
        <f>HYPERLINK("https://creighton-primo.hosted.exlibrisgroup.com/primo-explore/search?tab=default_tab&amp;search_scope=EVERYTHING&amp;vid=01CRU&amp;lang=en_US&amp;offset=0&amp;query=any,contains,991000913609702656","Catalog Record")</f>
        <v/>
      </c>
      <c r="AV22">
        <f>HYPERLINK("http://www.worldcat.org/oclc/160137","WorldCat Record")</f>
        <v/>
      </c>
      <c r="AW22" t="inlineStr">
        <is>
          <t>1263523:eng</t>
        </is>
      </c>
      <c r="AX22" t="inlineStr">
        <is>
          <t>160137</t>
        </is>
      </c>
      <c r="AY22" t="inlineStr">
        <is>
          <t>991000913609702656</t>
        </is>
      </c>
      <c r="AZ22" t="inlineStr">
        <is>
          <t>991000913609702656</t>
        </is>
      </c>
      <c r="BA22" t="inlineStr">
        <is>
          <t>2267355390002656</t>
        </is>
      </c>
      <c r="BB22" t="inlineStr">
        <is>
          <t>BOOK</t>
        </is>
      </c>
      <c r="BD22" t="inlineStr">
        <is>
          <t>9780198266280</t>
        </is>
      </c>
      <c r="BE22" t="inlineStr">
        <is>
          <t>32285000297704</t>
        </is>
      </c>
      <c r="BF22" t="inlineStr">
        <is>
          <t>893249796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BL1270.V5 S25</t>
        </is>
      </c>
      <c r="E23" t="inlineStr">
        <is>
          <t>0                      BL 1270000V  5                  S  25</t>
        </is>
      </c>
      <c r="F23" t="inlineStr">
        <is>
          <t>Swami Vivekananda's contribution to the present age / by Swami Satprakashananda.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Satprakashananda, Swami.</t>
        </is>
      </c>
      <c r="N23" t="inlineStr">
        <is>
          <t>St. Louis : Vedanta Society of St. Louis, c1978.</t>
        </is>
      </c>
      <c r="O23" t="inlineStr">
        <is>
          <t>1978</t>
        </is>
      </c>
      <c r="Q23" t="inlineStr">
        <is>
          <t>eng</t>
        </is>
      </c>
      <c r="R23" t="inlineStr">
        <is>
          <t>mou</t>
        </is>
      </c>
      <c r="T23" t="inlineStr">
        <is>
          <t xml:space="preserve">BL </t>
        </is>
      </c>
      <c r="U23" t="n">
        <v>4</v>
      </c>
      <c r="V23" t="n">
        <v>4</v>
      </c>
      <c r="W23" t="inlineStr">
        <is>
          <t>2002-03-18</t>
        </is>
      </c>
      <c r="X23" t="inlineStr">
        <is>
          <t>2002-03-18</t>
        </is>
      </c>
      <c r="Y23" t="inlineStr">
        <is>
          <t>1990-10-16</t>
        </is>
      </c>
      <c r="Z23" t="inlineStr">
        <is>
          <t>1990-10-16</t>
        </is>
      </c>
      <c r="AA23" t="n">
        <v>123</v>
      </c>
      <c r="AB23" t="n">
        <v>113</v>
      </c>
      <c r="AC23" t="n">
        <v>119</v>
      </c>
      <c r="AD23" t="n">
        <v>2</v>
      </c>
      <c r="AE23" t="n">
        <v>2</v>
      </c>
      <c r="AF23" t="n">
        <v>9</v>
      </c>
      <c r="AG23" t="n">
        <v>9</v>
      </c>
      <c r="AH23" t="n">
        <v>2</v>
      </c>
      <c r="AI23" t="n">
        <v>2</v>
      </c>
      <c r="AJ23" t="n">
        <v>2</v>
      </c>
      <c r="AK23" t="n">
        <v>2</v>
      </c>
      <c r="AL23" t="n">
        <v>6</v>
      </c>
      <c r="AM23" t="n">
        <v>6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HYPERLINK("http://catalog.hathitrust.org/Record/007116874","HathiTrust Record")</f>
        <v/>
      </c>
      <c r="AU23">
        <f>HYPERLINK("https://creighton-primo.hosted.exlibrisgroup.com/primo-explore/search?tab=default_tab&amp;search_scope=EVERYTHING&amp;vid=01CRU&amp;lang=en_US&amp;offset=0&amp;query=any,contains,991004575339702656","Catalog Record")</f>
        <v/>
      </c>
      <c r="AV23">
        <f>HYPERLINK("http://www.worldcat.org/oclc/4037283","WorldCat Record")</f>
        <v/>
      </c>
      <c r="AW23" t="inlineStr">
        <is>
          <t>14283075:eng</t>
        </is>
      </c>
      <c r="AX23" t="inlineStr">
        <is>
          <t>4037283</t>
        </is>
      </c>
      <c r="AY23" t="inlineStr">
        <is>
          <t>991004575339702656</t>
        </is>
      </c>
      <c r="AZ23" t="inlineStr">
        <is>
          <t>991004575339702656</t>
        </is>
      </c>
      <c r="BA23" t="inlineStr">
        <is>
          <t>2269085200002656</t>
        </is>
      </c>
      <c r="BB23" t="inlineStr">
        <is>
          <t>BOOK</t>
        </is>
      </c>
      <c r="BD23" t="inlineStr">
        <is>
          <t>9780916356583</t>
        </is>
      </c>
      <c r="BE23" t="inlineStr">
        <is>
          <t>32285000350057</t>
        </is>
      </c>
      <c r="BF23" t="inlineStr">
        <is>
          <t>893776167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BL1432.Z4 H842</t>
        </is>
      </c>
      <c r="E24" t="inlineStr">
        <is>
          <t>0                      BL 1432000Z  4                  H  842</t>
        </is>
      </c>
      <c r="F24" t="inlineStr">
        <is>
          <t>The Platform Scripture.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Huineng, 638-713.</t>
        </is>
      </c>
      <c r="N24" t="inlineStr">
        <is>
          <t>New York, St. John's University Press, 1963.</t>
        </is>
      </c>
      <c r="O24" t="inlineStr">
        <is>
          <t>1963</t>
        </is>
      </c>
      <c r="Q24" t="inlineStr">
        <is>
          <t>eng</t>
        </is>
      </c>
      <c r="R24" t="inlineStr">
        <is>
          <t>___</t>
        </is>
      </c>
      <c r="S24" t="inlineStr">
        <is>
          <t>Asian institute translations ; no. 3</t>
        </is>
      </c>
      <c r="T24" t="inlineStr">
        <is>
          <t xml:space="preserve">BL </t>
        </is>
      </c>
      <c r="U24" t="n">
        <v>3</v>
      </c>
      <c r="V24" t="n">
        <v>3</v>
      </c>
      <c r="W24" t="inlineStr">
        <is>
          <t>2005-05-04</t>
        </is>
      </c>
      <c r="X24" t="inlineStr">
        <is>
          <t>2005-05-04</t>
        </is>
      </c>
      <c r="Y24" t="inlineStr">
        <is>
          <t>1990-11-16</t>
        </is>
      </c>
      <c r="Z24" t="inlineStr">
        <is>
          <t>1990-11-16</t>
        </is>
      </c>
      <c r="AA24" t="n">
        <v>250</v>
      </c>
      <c r="AB24" t="n">
        <v>235</v>
      </c>
      <c r="AC24" t="n">
        <v>269</v>
      </c>
      <c r="AD24" t="n">
        <v>2</v>
      </c>
      <c r="AE24" t="n">
        <v>2</v>
      </c>
      <c r="AF24" t="n">
        <v>14</v>
      </c>
      <c r="AG24" t="n">
        <v>14</v>
      </c>
      <c r="AH24" t="n">
        <v>5</v>
      </c>
      <c r="AI24" t="n">
        <v>5</v>
      </c>
      <c r="AJ24" t="n">
        <v>3</v>
      </c>
      <c r="AK24" t="n">
        <v>3</v>
      </c>
      <c r="AL24" t="n">
        <v>8</v>
      </c>
      <c r="AM24" t="n">
        <v>8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HYPERLINK("http://catalog.hathitrust.org/Record/008217745","HathiTrust Record")</f>
        <v/>
      </c>
      <c r="AU24">
        <f>HYPERLINK("https://creighton-primo.hosted.exlibrisgroup.com/primo-explore/search?tab=default_tab&amp;search_scope=EVERYTHING&amp;vid=01CRU&amp;lang=en_US&amp;offset=0&amp;query=any,contains,991002625539702656","Catalog Record")</f>
        <v/>
      </c>
      <c r="AV24">
        <f>HYPERLINK("http://www.worldcat.org/oclc/1661742","WorldCat Record")</f>
        <v/>
      </c>
      <c r="AW24" t="inlineStr">
        <is>
          <t>10227214110:eng</t>
        </is>
      </c>
      <c r="AX24" t="inlineStr">
        <is>
          <t>1661742</t>
        </is>
      </c>
      <c r="AY24" t="inlineStr">
        <is>
          <t>991002625539702656</t>
        </is>
      </c>
      <c r="AZ24" t="inlineStr">
        <is>
          <t>991002625539702656</t>
        </is>
      </c>
      <c r="BA24" t="inlineStr">
        <is>
          <t>2259873260002656</t>
        </is>
      </c>
      <c r="BB24" t="inlineStr">
        <is>
          <t>BOOK</t>
        </is>
      </c>
      <c r="BE24" t="inlineStr">
        <is>
          <t>32285000399393</t>
        </is>
      </c>
      <c r="BF24" t="inlineStr">
        <is>
          <t>893227084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BL1432.Z4 T8</t>
        </is>
      </c>
      <c r="E25" t="inlineStr">
        <is>
          <t>0                      BL 1432000Z  4                  T  8</t>
        </is>
      </c>
      <c r="F25" t="inlineStr">
        <is>
          <t>The platform sutra of the sixth patriarch; the text of the Tun-huang manuscript with translation, introduction, and notes / by Philip B. Yampolsky.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Dunhuang manuscripts. English.</t>
        </is>
      </c>
      <c r="N25" t="inlineStr">
        <is>
          <t>New York : Columbia University Press, 1967.</t>
        </is>
      </c>
      <c r="O25" t="inlineStr">
        <is>
          <t>1967</t>
        </is>
      </c>
      <c r="Q25" t="inlineStr">
        <is>
          <t>eng</t>
        </is>
      </c>
      <c r="R25" t="inlineStr">
        <is>
          <t>___</t>
        </is>
      </c>
      <c r="S25" t="inlineStr">
        <is>
          <t>Records of civilization, sources and studies ; no. 76</t>
        </is>
      </c>
      <c r="T25" t="inlineStr">
        <is>
          <t xml:space="preserve">BL </t>
        </is>
      </c>
      <c r="U25" t="n">
        <v>5</v>
      </c>
      <c r="V25" t="n">
        <v>5</v>
      </c>
      <c r="W25" t="inlineStr">
        <is>
          <t>2006-09-06</t>
        </is>
      </c>
      <c r="X25" t="inlineStr">
        <is>
          <t>2006-09-06</t>
        </is>
      </c>
      <c r="Y25" t="inlineStr">
        <is>
          <t>1990-11-16</t>
        </is>
      </c>
      <c r="Z25" t="inlineStr">
        <is>
          <t>1990-11-16</t>
        </is>
      </c>
      <c r="AA25" t="n">
        <v>542</v>
      </c>
      <c r="AB25" t="n">
        <v>490</v>
      </c>
      <c r="AC25" t="n">
        <v>710</v>
      </c>
      <c r="AD25" t="n">
        <v>2</v>
      </c>
      <c r="AE25" t="n">
        <v>3</v>
      </c>
      <c r="AF25" t="n">
        <v>27</v>
      </c>
      <c r="AG25" t="n">
        <v>33</v>
      </c>
      <c r="AH25" t="n">
        <v>10</v>
      </c>
      <c r="AI25" t="n">
        <v>12</v>
      </c>
      <c r="AJ25" t="n">
        <v>7</v>
      </c>
      <c r="AK25" t="n">
        <v>9</v>
      </c>
      <c r="AL25" t="n">
        <v>18</v>
      </c>
      <c r="AM25" t="n">
        <v>21</v>
      </c>
      <c r="AN25" t="n">
        <v>1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HYPERLINK("http://catalog.hathitrust.org/Record/007155064","HathiTrust Record")</f>
        <v/>
      </c>
      <c r="AU25">
        <f>HYPERLINK("https://creighton-primo.hosted.exlibrisgroup.com/primo-explore/search?tab=default_tab&amp;search_scope=EVERYTHING&amp;vid=01CRU&amp;lang=en_US&amp;offset=0&amp;query=any,contains,991001009679702656","Catalog Record")</f>
        <v/>
      </c>
      <c r="AV25">
        <f>HYPERLINK("http://www.worldcat.org/oclc/173316","WorldCat Record")</f>
        <v/>
      </c>
      <c r="AW25" t="inlineStr">
        <is>
          <t>9566273145:eng</t>
        </is>
      </c>
      <c r="AX25" t="inlineStr">
        <is>
          <t>173316</t>
        </is>
      </c>
      <c r="AY25" t="inlineStr">
        <is>
          <t>991001009679702656</t>
        </is>
      </c>
      <c r="AZ25" t="inlineStr">
        <is>
          <t>991001009679702656</t>
        </is>
      </c>
      <c r="BA25" t="inlineStr">
        <is>
          <t>2268433900002656</t>
        </is>
      </c>
      <c r="BB25" t="inlineStr">
        <is>
          <t>BOOK</t>
        </is>
      </c>
      <c r="BE25" t="inlineStr">
        <is>
          <t>32285000399435</t>
        </is>
      </c>
      <c r="BF25" t="inlineStr">
        <is>
          <t>893231620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BL1442.Z4 H77 1971</t>
        </is>
      </c>
      <c r="E26" t="inlineStr">
        <is>
          <t>0                      BL 1442000Z  4                  H  77          1971</t>
        </is>
      </c>
      <c r="F26" t="inlineStr">
        <is>
          <t>The way of action; a working philosophy for Western life.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Humphreys, Christmas, 1901-1983.</t>
        </is>
      </c>
      <c r="N26" t="inlineStr">
        <is>
          <t>Baltimore, Pemguin Books [1971, c1960]</t>
        </is>
      </c>
      <c r="O26" t="inlineStr">
        <is>
          <t>1971</t>
        </is>
      </c>
      <c r="Q26" t="inlineStr">
        <is>
          <t>eng</t>
        </is>
      </c>
      <c r="R26" t="inlineStr">
        <is>
          <t>mdu</t>
        </is>
      </c>
      <c r="S26" t="inlineStr">
        <is>
          <t>A Pelican book</t>
        </is>
      </c>
      <c r="T26" t="inlineStr">
        <is>
          <t xml:space="preserve">BL </t>
        </is>
      </c>
      <c r="U26" t="n">
        <v>6</v>
      </c>
      <c r="V26" t="n">
        <v>6</v>
      </c>
      <c r="W26" t="inlineStr">
        <is>
          <t>2002-05-07</t>
        </is>
      </c>
      <c r="X26" t="inlineStr">
        <is>
          <t>2002-05-07</t>
        </is>
      </c>
      <c r="Y26" t="inlineStr">
        <is>
          <t>1990-11-16</t>
        </is>
      </c>
      <c r="Z26" t="inlineStr">
        <is>
          <t>1990-11-16</t>
        </is>
      </c>
      <c r="AA26" t="n">
        <v>46</v>
      </c>
      <c r="AB26" t="n">
        <v>44</v>
      </c>
      <c r="AC26" t="n">
        <v>193</v>
      </c>
      <c r="AD26" t="n">
        <v>2</v>
      </c>
      <c r="AE26" t="n">
        <v>2</v>
      </c>
      <c r="AF26" t="n">
        <v>4</v>
      </c>
      <c r="AG26" t="n">
        <v>9</v>
      </c>
      <c r="AH26" t="n">
        <v>2</v>
      </c>
      <c r="AI26" t="n">
        <v>3</v>
      </c>
      <c r="AJ26" t="n">
        <v>1</v>
      </c>
      <c r="AK26" t="n">
        <v>3</v>
      </c>
      <c r="AL26" t="n">
        <v>2</v>
      </c>
      <c r="AM26" t="n">
        <v>6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HYPERLINK("https://creighton-primo.hosted.exlibrisgroup.com/primo-explore/search?tab=default_tab&amp;search_scope=EVERYTHING&amp;vid=01CRU&amp;lang=en_US&amp;offset=0&amp;query=any,contains,991004344029702656","Catalog Record")</f>
        <v/>
      </c>
      <c r="AV26">
        <f>HYPERLINK("http://www.worldcat.org/oclc/3094328","WorldCat Record")</f>
        <v/>
      </c>
      <c r="AW26" t="inlineStr">
        <is>
          <t>431867331:eng</t>
        </is>
      </c>
      <c r="AX26" t="inlineStr">
        <is>
          <t>3094328</t>
        </is>
      </c>
      <c r="AY26" t="inlineStr">
        <is>
          <t>991004344029702656</t>
        </is>
      </c>
      <c r="AZ26" t="inlineStr">
        <is>
          <t>991004344029702656</t>
        </is>
      </c>
      <c r="BA26" t="inlineStr">
        <is>
          <t>2262163940002656</t>
        </is>
      </c>
      <c r="BB26" t="inlineStr">
        <is>
          <t>BOOK</t>
        </is>
      </c>
      <c r="BE26" t="inlineStr">
        <is>
          <t>32285000399401</t>
        </is>
      </c>
      <c r="BF26" t="inlineStr">
        <is>
          <t>893343721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BL1600 .A7</t>
        </is>
      </c>
      <c r="E27" t="inlineStr">
        <is>
          <t>0                      BL 1600000A  7</t>
        </is>
      </c>
      <c r="F27" t="inlineStr">
        <is>
          <t>Religion in the Middle East: three religions in concord and conflict; general editor A. J. Arberry.</t>
        </is>
      </c>
      <c r="H27" t="inlineStr">
        <is>
          <t>Yes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Arberry, A. J. (Arthur John), 1905-1969.</t>
        </is>
      </c>
      <c r="N27" t="inlineStr">
        <is>
          <t>London, Cambridge U.P., 1969.</t>
        </is>
      </c>
      <c r="O27" t="inlineStr">
        <is>
          <t>1969</t>
        </is>
      </c>
      <c r="Q27" t="inlineStr">
        <is>
          <t>eng</t>
        </is>
      </c>
      <c r="R27" t="inlineStr">
        <is>
          <t>enk</t>
        </is>
      </c>
      <c r="T27" t="inlineStr">
        <is>
          <t xml:space="preserve">BL </t>
        </is>
      </c>
      <c r="U27" t="n">
        <v>1</v>
      </c>
      <c r="V27" t="n">
        <v>5</v>
      </c>
      <c r="X27" t="inlineStr">
        <is>
          <t>1999-04-21</t>
        </is>
      </c>
      <c r="Y27" t="inlineStr">
        <is>
          <t>1990-04-06</t>
        </is>
      </c>
      <c r="Z27" t="inlineStr">
        <is>
          <t>1990-10-18</t>
        </is>
      </c>
      <c r="AA27" t="n">
        <v>1124</v>
      </c>
      <c r="AB27" t="n">
        <v>960</v>
      </c>
      <c r="AC27" t="n">
        <v>997</v>
      </c>
      <c r="AD27" t="n">
        <v>10</v>
      </c>
      <c r="AE27" t="n">
        <v>10</v>
      </c>
      <c r="AF27" t="n">
        <v>42</v>
      </c>
      <c r="AG27" t="n">
        <v>44</v>
      </c>
      <c r="AH27" t="n">
        <v>17</v>
      </c>
      <c r="AI27" t="n">
        <v>19</v>
      </c>
      <c r="AJ27" t="n">
        <v>8</v>
      </c>
      <c r="AK27" t="n">
        <v>8</v>
      </c>
      <c r="AL27" t="n">
        <v>17</v>
      </c>
      <c r="AM27" t="n">
        <v>19</v>
      </c>
      <c r="AN27" t="n">
        <v>9</v>
      </c>
      <c r="AO27" t="n">
        <v>9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7">
        <f>HYPERLINK("http://www.worldcat.org/oclc/10413","WorldCat Record")</f>
        <v/>
      </c>
      <c r="AW27" t="inlineStr">
        <is>
          <t>5218110449:eng</t>
        </is>
      </c>
      <c r="AX27" t="inlineStr">
        <is>
          <t>10413</t>
        </is>
      </c>
      <c r="AY27" t="inlineStr">
        <is>
          <t>991000001489702656</t>
        </is>
      </c>
      <c r="AZ27" t="inlineStr">
        <is>
          <t>991000001489702656</t>
        </is>
      </c>
      <c r="BA27" t="inlineStr">
        <is>
          <t>2268051730002656</t>
        </is>
      </c>
      <c r="BB27" t="inlineStr">
        <is>
          <t>BOOK</t>
        </is>
      </c>
      <c r="BD27" t="inlineStr">
        <is>
          <t>9780521074001</t>
        </is>
      </c>
      <c r="BE27" t="inlineStr">
        <is>
          <t>32285000112242</t>
        </is>
      </c>
      <c r="BF27" t="inlineStr">
        <is>
          <t>893261320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BL1600 .A7 V.2</t>
        </is>
      </c>
      <c r="E28" t="inlineStr">
        <is>
          <t>0                      BL 1600000A  7                                                       V.2</t>
        </is>
      </c>
      <c r="F28" t="inlineStr">
        <is>
          <t>Religion in the Middle East: three religions in concord and conflict; general editor A. J. Arberry.</t>
        </is>
      </c>
      <c r="G28" t="inlineStr">
        <is>
          <t>V.2*</t>
        </is>
      </c>
      <c r="H28" t="inlineStr">
        <is>
          <t>Yes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Arberry, A. J. (Arthur John), 1905-1969.</t>
        </is>
      </c>
      <c r="N28" t="inlineStr">
        <is>
          <t>London, Cambridge U.P., 1969.</t>
        </is>
      </c>
      <c r="O28" t="inlineStr">
        <is>
          <t>1969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BL </t>
        </is>
      </c>
      <c r="U28" t="n">
        <v>4</v>
      </c>
      <c r="V28" t="n">
        <v>5</v>
      </c>
      <c r="W28" t="inlineStr">
        <is>
          <t>1999-04-21</t>
        </is>
      </c>
      <c r="X28" t="inlineStr">
        <is>
          <t>1999-04-21</t>
        </is>
      </c>
      <c r="Y28" t="inlineStr">
        <is>
          <t>1990-10-18</t>
        </is>
      </c>
      <c r="Z28" t="inlineStr">
        <is>
          <t>1990-10-18</t>
        </is>
      </c>
      <c r="AA28" t="n">
        <v>1124</v>
      </c>
      <c r="AB28" t="n">
        <v>960</v>
      </c>
      <c r="AC28" t="n">
        <v>997</v>
      </c>
      <c r="AD28" t="n">
        <v>10</v>
      </c>
      <c r="AE28" t="n">
        <v>10</v>
      </c>
      <c r="AF28" t="n">
        <v>42</v>
      </c>
      <c r="AG28" t="n">
        <v>44</v>
      </c>
      <c r="AH28" t="n">
        <v>17</v>
      </c>
      <c r="AI28" t="n">
        <v>19</v>
      </c>
      <c r="AJ28" t="n">
        <v>8</v>
      </c>
      <c r="AK28" t="n">
        <v>8</v>
      </c>
      <c r="AL28" t="n">
        <v>17</v>
      </c>
      <c r="AM28" t="n">
        <v>19</v>
      </c>
      <c r="AN28" t="n">
        <v>9</v>
      </c>
      <c r="AO28" t="n">
        <v>9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8">
        <f>HYPERLINK("http://www.worldcat.org/oclc/10413","WorldCat Record")</f>
        <v/>
      </c>
      <c r="AW28" t="inlineStr">
        <is>
          <t>5218110449:eng</t>
        </is>
      </c>
      <c r="AX28" t="inlineStr">
        <is>
          <t>10413</t>
        </is>
      </c>
      <c r="AY28" t="inlineStr">
        <is>
          <t>991000001489702656</t>
        </is>
      </c>
      <c r="AZ28" t="inlineStr">
        <is>
          <t>991000001489702656</t>
        </is>
      </c>
      <c r="BA28" t="inlineStr">
        <is>
          <t>2268051730002656</t>
        </is>
      </c>
      <c r="BB28" t="inlineStr">
        <is>
          <t>BOOK</t>
        </is>
      </c>
      <c r="BD28" t="inlineStr">
        <is>
          <t>9780521074001</t>
        </is>
      </c>
      <c r="BE28" t="inlineStr">
        <is>
          <t>32285000350172</t>
        </is>
      </c>
      <c r="BF28" t="inlineStr">
        <is>
          <t>893255093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BL1600 .S6 1972</t>
        </is>
      </c>
      <c r="E29" t="inlineStr">
        <is>
          <t>0                      BL 1600000S  6           1972</t>
        </is>
      </c>
      <c r="F29" t="inlineStr">
        <is>
          <t>The religion of the Semites; the fundamental institutions.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Smith, W. Robertson (William Robertson), 1846-1894.</t>
        </is>
      </c>
      <c r="N29" t="inlineStr">
        <is>
          <t>New York, Schocken Books [1972]</t>
        </is>
      </c>
      <c r="O29" t="inlineStr">
        <is>
          <t>1972</t>
        </is>
      </c>
      <c r="P29" t="inlineStr">
        <is>
          <t>[1st Schocken paperback ed.]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BL </t>
        </is>
      </c>
      <c r="U29" t="n">
        <v>2</v>
      </c>
      <c r="V29" t="n">
        <v>2</v>
      </c>
      <c r="W29" t="inlineStr">
        <is>
          <t>1993-02-17</t>
        </is>
      </c>
      <c r="X29" t="inlineStr">
        <is>
          <t>1993-02-17</t>
        </is>
      </c>
      <c r="Y29" t="inlineStr">
        <is>
          <t>1991-07-12</t>
        </is>
      </c>
      <c r="Z29" t="inlineStr">
        <is>
          <t>1991-07-12</t>
        </is>
      </c>
      <c r="AA29" t="n">
        <v>223</v>
      </c>
      <c r="AB29" t="n">
        <v>188</v>
      </c>
      <c r="AC29" t="n">
        <v>485</v>
      </c>
      <c r="AD29" t="n">
        <v>1</v>
      </c>
      <c r="AE29" t="n">
        <v>3</v>
      </c>
      <c r="AF29" t="n">
        <v>7</v>
      </c>
      <c r="AG29" t="n">
        <v>21</v>
      </c>
      <c r="AH29" t="n">
        <v>4</v>
      </c>
      <c r="AI29" t="n">
        <v>9</v>
      </c>
      <c r="AJ29" t="n">
        <v>2</v>
      </c>
      <c r="AK29" t="n">
        <v>6</v>
      </c>
      <c r="AL29" t="n">
        <v>5</v>
      </c>
      <c r="AM29" t="n">
        <v>11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HYPERLINK("http://catalog.hathitrust.org/Record/009906810","HathiTrust Record")</f>
        <v/>
      </c>
      <c r="AU29">
        <f>HYPERLINK("https://creighton-primo.hosted.exlibrisgroup.com/primo-explore/search?tab=default_tab&amp;search_scope=EVERYTHING&amp;vid=01CRU&amp;lang=en_US&amp;offset=0&amp;query=any,contains,991002295729702656","Catalog Record")</f>
        <v/>
      </c>
      <c r="AV29">
        <f>HYPERLINK("http://www.worldcat.org/oclc/315333","WorldCat Record")</f>
        <v/>
      </c>
      <c r="AW29" t="inlineStr">
        <is>
          <t>3901020029:eng</t>
        </is>
      </c>
      <c r="AX29" t="inlineStr">
        <is>
          <t>315333</t>
        </is>
      </c>
      <c r="AY29" t="inlineStr">
        <is>
          <t>991002295729702656</t>
        </is>
      </c>
      <c r="AZ29" t="inlineStr">
        <is>
          <t>991002295729702656</t>
        </is>
      </c>
      <c r="BA29" t="inlineStr">
        <is>
          <t>2268868890002656</t>
        </is>
      </c>
      <c r="BB29" t="inlineStr">
        <is>
          <t>BOOK</t>
        </is>
      </c>
      <c r="BD29" t="inlineStr">
        <is>
          <t>9780805203462</t>
        </is>
      </c>
      <c r="BE29" t="inlineStr">
        <is>
          <t>32285000639194</t>
        </is>
      </c>
      <c r="BF29" t="inlineStr">
        <is>
          <t>893433722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BL1660 .P4813</t>
        </is>
      </c>
      <c r="E30" t="inlineStr">
        <is>
          <t>0                      BL 1660000P  4813</t>
        </is>
      </c>
      <c r="F30" t="inlineStr">
        <is>
          <t>The Phoenician history / Philo of Byblos ; introd., critical text, translation, notes, by Harold W. Attridge and Robert A. Oden, Jr.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Philo, of Byblos.</t>
        </is>
      </c>
      <c r="N30" t="inlineStr">
        <is>
          <t>Washington, D.C. : Catholic Biblical Association of America, 1981.</t>
        </is>
      </c>
      <c r="O30" t="inlineStr">
        <is>
          <t>1981</t>
        </is>
      </c>
      <c r="Q30" t="inlineStr">
        <is>
          <t>eng</t>
        </is>
      </c>
      <c r="R30" t="inlineStr">
        <is>
          <t>dcu</t>
        </is>
      </c>
      <c r="S30" t="inlineStr">
        <is>
          <t>Catholic Biblical quarterly. Monograph series ; 9</t>
        </is>
      </c>
      <c r="T30" t="inlineStr">
        <is>
          <t xml:space="preserve">BL </t>
        </is>
      </c>
      <c r="U30" t="n">
        <v>2</v>
      </c>
      <c r="V30" t="n">
        <v>2</v>
      </c>
      <c r="W30" t="inlineStr">
        <is>
          <t>1992-05-04</t>
        </is>
      </c>
      <c r="X30" t="inlineStr">
        <is>
          <t>1992-05-04</t>
        </is>
      </c>
      <c r="Y30" t="inlineStr">
        <is>
          <t>1990-10-18</t>
        </is>
      </c>
      <c r="Z30" t="inlineStr">
        <is>
          <t>1990-10-18</t>
        </is>
      </c>
      <c r="AA30" t="n">
        <v>302</v>
      </c>
      <c r="AB30" t="n">
        <v>229</v>
      </c>
      <c r="AC30" t="n">
        <v>231</v>
      </c>
      <c r="AD30" t="n">
        <v>2</v>
      </c>
      <c r="AE30" t="n">
        <v>2</v>
      </c>
      <c r="AF30" t="n">
        <v>18</v>
      </c>
      <c r="AG30" t="n">
        <v>18</v>
      </c>
      <c r="AH30" t="n">
        <v>7</v>
      </c>
      <c r="AI30" t="n">
        <v>7</v>
      </c>
      <c r="AJ30" t="n">
        <v>4</v>
      </c>
      <c r="AK30" t="n">
        <v>4</v>
      </c>
      <c r="AL30" t="n">
        <v>12</v>
      </c>
      <c r="AM30" t="n">
        <v>12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HYPERLINK("https://creighton-primo.hosted.exlibrisgroup.com/primo-explore/search?tab=default_tab&amp;search_scope=EVERYTHING&amp;vid=01CRU&amp;lang=en_US&amp;offset=0&amp;query=any,contains,991005058809702656","Catalog Record")</f>
        <v/>
      </c>
      <c r="AV30">
        <f>HYPERLINK("http://www.worldcat.org/oclc/6915862","WorldCat Record")</f>
        <v/>
      </c>
      <c r="AW30" t="inlineStr">
        <is>
          <t>5617132503:eng</t>
        </is>
      </c>
      <c r="AX30" t="inlineStr">
        <is>
          <t>6915862</t>
        </is>
      </c>
      <c r="AY30" t="inlineStr">
        <is>
          <t>991005058809702656</t>
        </is>
      </c>
      <c r="AZ30" t="inlineStr">
        <is>
          <t>991005058809702656</t>
        </is>
      </c>
      <c r="BA30" t="inlineStr">
        <is>
          <t>2265701290002656</t>
        </is>
      </c>
      <c r="BB30" t="inlineStr">
        <is>
          <t>BOOK</t>
        </is>
      </c>
      <c r="BD30" t="inlineStr">
        <is>
          <t>9780915170081</t>
        </is>
      </c>
      <c r="BE30" t="inlineStr">
        <is>
          <t>32285000350248</t>
        </is>
      </c>
      <c r="BF30" t="inlineStr">
        <is>
          <t>893332335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BL1670 .M84</t>
        </is>
      </c>
      <c r="E31" t="inlineStr">
        <is>
          <t>0                      BL 1670000M  84</t>
        </is>
      </c>
      <c r="F31" t="inlineStr">
        <is>
          <t>The divine council in Canaanite &amp; Hebrew literature / E. Theodore Mullen, Jr.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Mullen, E. Theodore.</t>
        </is>
      </c>
      <c r="N31" t="inlineStr">
        <is>
          <t>Missoula, Mont. : Scholars Press, c1980.</t>
        </is>
      </c>
      <c r="O31" t="inlineStr">
        <is>
          <t>1980</t>
        </is>
      </c>
      <c r="Q31" t="inlineStr">
        <is>
          <t>eng</t>
        </is>
      </c>
      <c r="R31" t="inlineStr">
        <is>
          <t>mtu</t>
        </is>
      </c>
      <c r="S31" t="inlineStr">
        <is>
          <t>Harvard Semitic monographs, 0073-0637 ; no. 24</t>
        </is>
      </c>
      <c r="T31" t="inlineStr">
        <is>
          <t xml:space="preserve">BL </t>
        </is>
      </c>
      <c r="U31" t="n">
        <v>3</v>
      </c>
      <c r="V31" t="n">
        <v>3</v>
      </c>
      <c r="W31" t="inlineStr">
        <is>
          <t>1993-02-21</t>
        </is>
      </c>
      <c r="X31" t="inlineStr">
        <is>
          <t>1993-02-21</t>
        </is>
      </c>
      <c r="Y31" t="inlineStr">
        <is>
          <t>1990-10-18</t>
        </is>
      </c>
      <c r="Z31" t="inlineStr">
        <is>
          <t>1990-10-18</t>
        </is>
      </c>
      <c r="AA31" t="n">
        <v>380</v>
      </c>
      <c r="AB31" t="n">
        <v>284</v>
      </c>
      <c r="AC31" t="n">
        <v>320</v>
      </c>
      <c r="AD31" t="n">
        <v>4</v>
      </c>
      <c r="AE31" t="n">
        <v>4</v>
      </c>
      <c r="AF31" t="n">
        <v>19</v>
      </c>
      <c r="AG31" t="n">
        <v>21</v>
      </c>
      <c r="AH31" t="n">
        <v>6</v>
      </c>
      <c r="AI31" t="n">
        <v>7</v>
      </c>
      <c r="AJ31" t="n">
        <v>4</v>
      </c>
      <c r="AK31" t="n">
        <v>5</v>
      </c>
      <c r="AL31" t="n">
        <v>11</v>
      </c>
      <c r="AM31" t="n">
        <v>12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HYPERLINK("http://catalog.hathitrust.org/Record/007116232","HathiTrust Record")</f>
        <v/>
      </c>
      <c r="AU31">
        <f>HYPERLINK("https://creighton-primo.hosted.exlibrisgroup.com/primo-explore/search?tab=default_tab&amp;search_scope=EVERYTHING&amp;vid=01CRU&amp;lang=en_US&amp;offset=0&amp;query=any,contains,991004911359702656","Catalog Record")</f>
        <v/>
      </c>
      <c r="AV31">
        <f>HYPERLINK("http://www.worldcat.org/oclc/5992344","WorldCat Record")</f>
        <v/>
      </c>
      <c r="AW31" t="inlineStr">
        <is>
          <t>548076:eng</t>
        </is>
      </c>
      <c r="AX31" t="inlineStr">
        <is>
          <t>5992344</t>
        </is>
      </c>
      <c r="AY31" t="inlineStr">
        <is>
          <t>991004911359702656</t>
        </is>
      </c>
      <c r="AZ31" t="inlineStr">
        <is>
          <t>991004911359702656</t>
        </is>
      </c>
      <c r="BA31" t="inlineStr">
        <is>
          <t>2261686960002656</t>
        </is>
      </c>
      <c r="BB31" t="inlineStr">
        <is>
          <t>BOOK</t>
        </is>
      </c>
      <c r="BD31" t="inlineStr">
        <is>
          <t>9780891303800</t>
        </is>
      </c>
      <c r="BE31" t="inlineStr">
        <is>
          <t>32285000350271</t>
        </is>
      </c>
      <c r="BF31" t="inlineStr">
        <is>
          <t>893319765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BL180 .R36 1981</t>
        </is>
      </c>
      <c r="E32" t="inlineStr">
        <is>
          <t>0                      BL 0180000R  36          1981</t>
        </is>
      </c>
      <c r="F32" t="inlineStr">
        <is>
          <t>Thomas Reid's Lectures on natural theology (1780) / transcribed from student notes, edited, and with an introduction by Elmer H. Duncan ; with a new essay "Reid, first principles and reason in the Lectures on natural theology" by William R. Eakin.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Reid, Thomas, 1710-1796.</t>
        </is>
      </c>
      <c r="N32" t="inlineStr">
        <is>
          <t>Washington, D.C. : University Press of America, c1981.</t>
        </is>
      </c>
      <c r="O32" t="inlineStr">
        <is>
          <t>1981</t>
        </is>
      </c>
      <c r="Q32" t="inlineStr">
        <is>
          <t>eng</t>
        </is>
      </c>
      <c r="R32" t="inlineStr">
        <is>
          <t>dcu</t>
        </is>
      </c>
      <c r="T32" t="inlineStr">
        <is>
          <t xml:space="preserve">BL </t>
        </is>
      </c>
      <c r="U32" t="n">
        <v>1</v>
      </c>
      <c r="V32" t="n">
        <v>1</v>
      </c>
      <c r="W32" t="inlineStr">
        <is>
          <t>2004-05-10</t>
        </is>
      </c>
      <c r="X32" t="inlineStr">
        <is>
          <t>2004-05-10</t>
        </is>
      </c>
      <c r="Y32" t="inlineStr">
        <is>
          <t>1990-10-03</t>
        </is>
      </c>
      <c r="Z32" t="inlineStr">
        <is>
          <t>1990-10-03</t>
        </is>
      </c>
      <c r="AA32" t="n">
        <v>166</v>
      </c>
      <c r="AB32" t="n">
        <v>142</v>
      </c>
      <c r="AC32" t="n">
        <v>143</v>
      </c>
      <c r="AD32" t="n">
        <v>3</v>
      </c>
      <c r="AE32" t="n">
        <v>3</v>
      </c>
      <c r="AF32" t="n">
        <v>12</v>
      </c>
      <c r="AG32" t="n">
        <v>12</v>
      </c>
      <c r="AH32" t="n">
        <v>4</v>
      </c>
      <c r="AI32" t="n">
        <v>4</v>
      </c>
      <c r="AJ32" t="n">
        <v>2</v>
      </c>
      <c r="AK32" t="n">
        <v>2</v>
      </c>
      <c r="AL32" t="n">
        <v>8</v>
      </c>
      <c r="AM32" t="n">
        <v>8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HYPERLINK("http://catalog.hathitrust.org/Record/007886140","HathiTrust Record")</f>
        <v/>
      </c>
      <c r="AU32">
        <f>HYPERLINK("https://creighton-primo.hosted.exlibrisgroup.com/primo-explore/search?tab=default_tab&amp;search_scope=EVERYTHING&amp;vid=01CRU&amp;lang=en_US&amp;offset=0&amp;query=any,contains,991000025829702656","Catalog Record")</f>
        <v/>
      </c>
      <c r="AV32">
        <f>HYPERLINK("http://www.worldcat.org/oclc/6943197","WorldCat Record")</f>
        <v/>
      </c>
      <c r="AW32" t="inlineStr">
        <is>
          <t>427350487:eng</t>
        </is>
      </c>
      <c r="AX32" t="inlineStr">
        <is>
          <t>6943197</t>
        </is>
      </c>
      <c r="AY32" t="inlineStr">
        <is>
          <t>991000025829702656</t>
        </is>
      </c>
      <c r="AZ32" t="inlineStr">
        <is>
          <t>991000025829702656</t>
        </is>
      </c>
      <c r="BA32" t="inlineStr">
        <is>
          <t>2255101340002656</t>
        </is>
      </c>
      <c r="BB32" t="inlineStr">
        <is>
          <t>BOOK</t>
        </is>
      </c>
      <c r="BD32" t="inlineStr">
        <is>
          <t>9780819113559</t>
        </is>
      </c>
      <c r="BE32" t="inlineStr">
        <is>
          <t>32285000331073</t>
        </is>
      </c>
      <c r="BF32" t="inlineStr">
        <is>
          <t>893419127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BL1802 .A33</t>
        </is>
      </c>
      <c r="E33" t="inlineStr">
        <is>
          <t>0                      BL 1802000A  33</t>
        </is>
      </c>
      <c r="F33" t="inlineStr">
        <is>
          <t>Chinese ritual and politics / Emily Martin Ahern.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Martin, Emily.</t>
        </is>
      </c>
      <c r="N33" t="inlineStr">
        <is>
          <t>Cambridge ; New York : Cambridge University Press, 1981.</t>
        </is>
      </c>
      <c r="O33" t="inlineStr">
        <is>
          <t>1981</t>
        </is>
      </c>
      <c r="Q33" t="inlineStr">
        <is>
          <t>eng</t>
        </is>
      </c>
      <c r="R33" t="inlineStr">
        <is>
          <t>enk</t>
        </is>
      </c>
      <c r="S33" t="inlineStr">
        <is>
          <t>Cambridge studies in social anthropology ; 34</t>
        </is>
      </c>
      <c r="T33" t="inlineStr">
        <is>
          <t xml:space="preserve">BL </t>
        </is>
      </c>
      <c r="U33" t="n">
        <v>9</v>
      </c>
      <c r="V33" t="n">
        <v>9</v>
      </c>
      <c r="W33" t="inlineStr">
        <is>
          <t>1998-09-08</t>
        </is>
      </c>
      <c r="X33" t="inlineStr">
        <is>
          <t>1998-09-08</t>
        </is>
      </c>
      <c r="Y33" t="inlineStr">
        <is>
          <t>1990-10-18</t>
        </is>
      </c>
      <c r="Z33" t="inlineStr">
        <is>
          <t>1990-10-18</t>
        </is>
      </c>
      <c r="AA33" t="n">
        <v>414</v>
      </c>
      <c r="AB33" t="n">
        <v>291</v>
      </c>
      <c r="AC33" t="n">
        <v>295</v>
      </c>
      <c r="AD33" t="n">
        <v>3</v>
      </c>
      <c r="AE33" t="n">
        <v>3</v>
      </c>
      <c r="AF33" t="n">
        <v>12</v>
      </c>
      <c r="AG33" t="n">
        <v>12</v>
      </c>
      <c r="AH33" t="n">
        <v>2</v>
      </c>
      <c r="AI33" t="n">
        <v>2</v>
      </c>
      <c r="AJ33" t="n">
        <v>5</v>
      </c>
      <c r="AK33" t="n">
        <v>5</v>
      </c>
      <c r="AL33" t="n">
        <v>5</v>
      </c>
      <c r="AM33" t="n">
        <v>5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HYPERLINK("https://creighton-primo.hosted.exlibrisgroup.com/primo-explore/search?tab=default_tab&amp;search_scope=EVERYTHING&amp;vid=01CRU&amp;lang=en_US&amp;offset=0&amp;query=any,contains,991005225019702656","Catalog Record")</f>
        <v/>
      </c>
      <c r="AV33">
        <f>HYPERLINK("http://www.worldcat.org/oclc/8280429","WorldCat Record")</f>
        <v/>
      </c>
      <c r="AW33" t="inlineStr">
        <is>
          <t>504865:eng</t>
        </is>
      </c>
      <c r="AX33" t="inlineStr">
        <is>
          <t>8280429</t>
        </is>
      </c>
      <c r="AY33" t="inlineStr">
        <is>
          <t>991005225019702656</t>
        </is>
      </c>
      <c r="AZ33" t="inlineStr">
        <is>
          <t>991005225019702656</t>
        </is>
      </c>
      <c r="BA33" t="inlineStr">
        <is>
          <t>2257288380002656</t>
        </is>
      </c>
      <c r="BB33" t="inlineStr">
        <is>
          <t>BOOK</t>
        </is>
      </c>
      <c r="BD33" t="inlineStr">
        <is>
          <t>9780521236904</t>
        </is>
      </c>
      <c r="BE33" t="inlineStr">
        <is>
          <t>32285000350289</t>
        </is>
      </c>
      <c r="BF33" t="inlineStr">
        <is>
          <t>893350936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BL1802 .C45 1981</t>
        </is>
      </c>
      <c r="E34" t="inlineStr">
        <is>
          <t>0                      BL 1802000C  45          1981</t>
        </is>
      </c>
      <c r="F34" t="inlineStr">
        <is>
          <t>Chinese humanism : a religion beyond religion / Andrew Chih.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Chih, Andrew.</t>
        </is>
      </c>
      <c r="N34" t="inlineStr">
        <is>
          <t>Taipei, Taiwan : Fu Jen Catholic University Press, c1981.</t>
        </is>
      </c>
      <c r="O34" t="inlineStr">
        <is>
          <t>1981</t>
        </is>
      </c>
      <c r="Q34" t="inlineStr">
        <is>
          <t>eng</t>
        </is>
      </c>
      <c r="R34" t="inlineStr">
        <is>
          <t xml:space="preserve">ch </t>
        </is>
      </c>
      <c r="T34" t="inlineStr">
        <is>
          <t xml:space="preserve">BL </t>
        </is>
      </c>
      <c r="U34" t="n">
        <v>8</v>
      </c>
      <c r="V34" t="n">
        <v>8</v>
      </c>
      <c r="W34" t="inlineStr">
        <is>
          <t>2004-09-19</t>
        </is>
      </c>
      <c r="X34" t="inlineStr">
        <is>
          <t>2004-09-19</t>
        </is>
      </c>
      <c r="Y34" t="inlineStr">
        <is>
          <t>1991-01-09</t>
        </is>
      </c>
      <c r="Z34" t="inlineStr">
        <is>
          <t>1991-01-09</t>
        </is>
      </c>
      <c r="AA34" t="n">
        <v>159</v>
      </c>
      <c r="AB34" t="n">
        <v>130</v>
      </c>
      <c r="AC34" t="n">
        <v>130</v>
      </c>
      <c r="AD34" t="n">
        <v>2</v>
      </c>
      <c r="AE34" t="n">
        <v>2</v>
      </c>
      <c r="AF34" t="n">
        <v>14</v>
      </c>
      <c r="AG34" t="n">
        <v>14</v>
      </c>
      <c r="AH34" t="n">
        <v>1</v>
      </c>
      <c r="AI34" t="n">
        <v>1</v>
      </c>
      <c r="AJ34" t="n">
        <v>6</v>
      </c>
      <c r="AK34" t="n">
        <v>6</v>
      </c>
      <c r="AL34" t="n">
        <v>9</v>
      </c>
      <c r="AM34" t="n">
        <v>9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HYPERLINK("https://creighton-primo.hosted.exlibrisgroup.com/primo-explore/search?tab=default_tab&amp;search_scope=EVERYTHING&amp;vid=01CRU&amp;lang=en_US&amp;offset=0&amp;query=any,contains,991000103989702656","Catalog Record")</f>
        <v/>
      </c>
      <c r="AV34">
        <f>HYPERLINK("http://www.worldcat.org/oclc/11727874","WorldCat Record")</f>
        <v/>
      </c>
      <c r="AW34" t="inlineStr">
        <is>
          <t>308961591:eng</t>
        </is>
      </c>
      <c r="AX34" t="inlineStr">
        <is>
          <t>11727874</t>
        </is>
      </c>
      <c r="AY34" t="inlineStr">
        <is>
          <t>991000103989702656</t>
        </is>
      </c>
      <c r="AZ34" t="inlineStr">
        <is>
          <t>991000103989702656</t>
        </is>
      </c>
      <c r="BA34" t="inlineStr">
        <is>
          <t>2272792990002656</t>
        </is>
      </c>
      <c r="BB34" t="inlineStr">
        <is>
          <t>BOOK</t>
        </is>
      </c>
      <c r="BE34" t="inlineStr">
        <is>
          <t>32285000427608</t>
        </is>
      </c>
      <c r="BF34" t="inlineStr">
        <is>
          <t>893249088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BL1802 .M3</t>
        </is>
      </c>
      <c r="E35" t="inlineStr">
        <is>
          <t>0                      BL 1802000M  3</t>
        </is>
      </c>
      <c r="F35" t="inlineStr">
        <is>
          <t>Religious policy and practice in Communist China; a documentary history [compiled] by Donald E. MacInnis.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MacInnis, Donald E., compiler.</t>
        </is>
      </c>
      <c r="N35" t="inlineStr">
        <is>
          <t>New York, Macmillan [1972]</t>
        </is>
      </c>
      <c r="O35" t="inlineStr">
        <is>
          <t>1972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BL </t>
        </is>
      </c>
      <c r="U35" t="n">
        <v>6</v>
      </c>
      <c r="V35" t="n">
        <v>6</v>
      </c>
      <c r="W35" t="inlineStr">
        <is>
          <t>2007-07-12</t>
        </is>
      </c>
      <c r="X35" t="inlineStr">
        <is>
          <t>2007-07-12</t>
        </is>
      </c>
      <c r="Y35" t="inlineStr">
        <is>
          <t>1990-10-18</t>
        </is>
      </c>
      <c r="Z35" t="inlineStr">
        <is>
          <t>1990-10-18</t>
        </is>
      </c>
      <c r="AA35" t="n">
        <v>835</v>
      </c>
      <c r="AB35" t="n">
        <v>730</v>
      </c>
      <c r="AC35" t="n">
        <v>735</v>
      </c>
      <c r="AD35" t="n">
        <v>7</v>
      </c>
      <c r="AE35" t="n">
        <v>7</v>
      </c>
      <c r="AF35" t="n">
        <v>34</v>
      </c>
      <c r="AG35" t="n">
        <v>34</v>
      </c>
      <c r="AH35" t="n">
        <v>14</v>
      </c>
      <c r="AI35" t="n">
        <v>14</v>
      </c>
      <c r="AJ35" t="n">
        <v>8</v>
      </c>
      <c r="AK35" t="n">
        <v>8</v>
      </c>
      <c r="AL35" t="n">
        <v>17</v>
      </c>
      <c r="AM35" t="n">
        <v>17</v>
      </c>
      <c r="AN35" t="n">
        <v>5</v>
      </c>
      <c r="AO35" t="n">
        <v>5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HYPERLINK("http://catalog.hathitrust.org/Record/001394564","HathiTrust Record")</f>
        <v/>
      </c>
      <c r="AU35">
        <f>HYPERLINK("https://creighton-primo.hosted.exlibrisgroup.com/primo-explore/search?tab=default_tab&amp;search_scope=EVERYTHING&amp;vid=01CRU&amp;lang=en_US&amp;offset=0&amp;query=any,contains,991002738899702656","Catalog Record")</f>
        <v/>
      </c>
      <c r="AV35">
        <f>HYPERLINK("http://www.worldcat.org/oclc/420322","WorldCat Record")</f>
        <v/>
      </c>
      <c r="AW35" t="inlineStr">
        <is>
          <t>797241199:eng</t>
        </is>
      </c>
      <c r="AX35" t="inlineStr">
        <is>
          <t>420322</t>
        </is>
      </c>
      <c r="AY35" t="inlineStr">
        <is>
          <t>991002738899702656</t>
        </is>
      </c>
      <c r="AZ35" t="inlineStr">
        <is>
          <t>991002738899702656</t>
        </is>
      </c>
      <c r="BA35" t="inlineStr">
        <is>
          <t>2270674670002656</t>
        </is>
      </c>
      <c r="BB35" t="inlineStr">
        <is>
          <t>BOOK</t>
        </is>
      </c>
      <c r="BE35" t="inlineStr">
        <is>
          <t>32285000350305</t>
        </is>
      </c>
      <c r="BF35" t="inlineStr">
        <is>
          <t>893867617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BL182 .C55</t>
        </is>
      </c>
      <c r="E36" t="inlineStr">
        <is>
          <t>0                      BL 0182000C  55</t>
        </is>
      </c>
      <c r="F36" t="inlineStr">
        <is>
          <t>A return to natural theology, by F. H. Cleobury.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Cleobury, F. H. (Frank Harold)</t>
        </is>
      </c>
      <c r="N36" t="inlineStr">
        <is>
          <t>London, Clarke, 1967.</t>
        </is>
      </c>
      <c r="O36" t="inlineStr">
        <is>
          <t>1967</t>
        </is>
      </c>
      <c r="Q36" t="inlineStr">
        <is>
          <t>eng</t>
        </is>
      </c>
      <c r="R36" t="inlineStr">
        <is>
          <t>___</t>
        </is>
      </c>
      <c r="T36" t="inlineStr">
        <is>
          <t xml:space="preserve">BL </t>
        </is>
      </c>
      <c r="U36" t="n">
        <v>4</v>
      </c>
      <c r="V36" t="n">
        <v>4</v>
      </c>
      <c r="W36" t="inlineStr">
        <is>
          <t>1996-09-28</t>
        </is>
      </c>
      <c r="X36" t="inlineStr">
        <is>
          <t>1996-09-28</t>
        </is>
      </c>
      <c r="Y36" t="inlineStr">
        <is>
          <t>1990-10-03</t>
        </is>
      </c>
      <c r="Z36" t="inlineStr">
        <is>
          <t>1990-10-03</t>
        </is>
      </c>
      <c r="AA36" t="n">
        <v>135</v>
      </c>
      <c r="AB36" t="n">
        <v>83</v>
      </c>
      <c r="AC36" t="n">
        <v>95</v>
      </c>
      <c r="AD36" t="n">
        <v>1</v>
      </c>
      <c r="AE36" t="n">
        <v>1</v>
      </c>
      <c r="AF36" t="n">
        <v>5</v>
      </c>
      <c r="AG36" t="n">
        <v>5</v>
      </c>
      <c r="AH36" t="n">
        <v>1</v>
      </c>
      <c r="AI36" t="n">
        <v>1</v>
      </c>
      <c r="AJ36" t="n">
        <v>2</v>
      </c>
      <c r="AK36" t="n">
        <v>2</v>
      </c>
      <c r="AL36" t="n">
        <v>4</v>
      </c>
      <c r="AM36" t="n">
        <v>4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HYPERLINK("https://creighton-primo.hosted.exlibrisgroup.com/primo-explore/search?tab=default_tab&amp;search_scope=EVERYTHING&amp;vid=01CRU&amp;lang=en_US&amp;offset=0&amp;query=any,contains,991003562729702656","Catalog Record")</f>
        <v/>
      </c>
      <c r="AV36">
        <f>HYPERLINK("http://www.worldcat.org/oclc/1134133","WorldCat Record")</f>
        <v/>
      </c>
      <c r="AW36" t="inlineStr">
        <is>
          <t>2050613:eng</t>
        </is>
      </c>
      <c r="AX36" t="inlineStr">
        <is>
          <t>1134133</t>
        </is>
      </c>
      <c r="AY36" t="inlineStr">
        <is>
          <t>991003562729702656</t>
        </is>
      </c>
      <c r="AZ36" t="inlineStr">
        <is>
          <t>991003562729702656</t>
        </is>
      </c>
      <c r="BA36" t="inlineStr">
        <is>
          <t>2267939370002656</t>
        </is>
      </c>
      <c r="BB36" t="inlineStr">
        <is>
          <t>BOOK</t>
        </is>
      </c>
      <c r="BE36" t="inlineStr">
        <is>
          <t>32285000331123</t>
        </is>
      </c>
      <c r="BF36" t="inlineStr">
        <is>
          <t>893512097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BL182 .F55 1966</t>
        </is>
      </c>
      <c r="E37" t="inlineStr">
        <is>
          <t>0                      BL 0182000F  55          1966</t>
        </is>
      </c>
      <c r="F37" t="inlineStr">
        <is>
          <t>God &amp; philosophy [by] Antony Flew.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Flew, Antony, 1923-2010.</t>
        </is>
      </c>
      <c r="N37" t="inlineStr">
        <is>
          <t>New York, Harcourt, Brace &amp; World [1966]</t>
        </is>
      </c>
      <c r="O37" t="inlineStr">
        <is>
          <t>1966</t>
        </is>
      </c>
      <c r="P37" t="inlineStr">
        <is>
          <t>[1st American ed.]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BL </t>
        </is>
      </c>
      <c r="U37" t="n">
        <v>2</v>
      </c>
      <c r="V37" t="n">
        <v>2</v>
      </c>
      <c r="W37" t="inlineStr">
        <is>
          <t>1995-02-26</t>
        </is>
      </c>
      <c r="X37" t="inlineStr">
        <is>
          <t>1995-02-26</t>
        </is>
      </c>
      <c r="Y37" t="inlineStr">
        <is>
          <t>1990-10-03</t>
        </is>
      </c>
      <c r="Z37" t="inlineStr">
        <is>
          <t>1990-10-03</t>
        </is>
      </c>
      <c r="AA37" t="n">
        <v>397</v>
      </c>
      <c r="AB37" t="n">
        <v>364</v>
      </c>
      <c r="AC37" t="n">
        <v>662</v>
      </c>
      <c r="AD37" t="n">
        <v>4</v>
      </c>
      <c r="AE37" t="n">
        <v>5</v>
      </c>
      <c r="AF37" t="n">
        <v>24</v>
      </c>
      <c r="AG37" t="n">
        <v>34</v>
      </c>
      <c r="AH37" t="n">
        <v>9</v>
      </c>
      <c r="AI37" t="n">
        <v>13</v>
      </c>
      <c r="AJ37" t="n">
        <v>6</v>
      </c>
      <c r="AK37" t="n">
        <v>8</v>
      </c>
      <c r="AL37" t="n">
        <v>14</v>
      </c>
      <c r="AM37" t="n">
        <v>23</v>
      </c>
      <c r="AN37" t="n">
        <v>3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HYPERLINK("http://catalog.hathitrust.org/Record/001391837","HathiTrust Record")</f>
        <v/>
      </c>
      <c r="AU37">
        <f>HYPERLINK("https://creighton-primo.hosted.exlibrisgroup.com/primo-explore/search?tab=default_tab&amp;search_scope=EVERYTHING&amp;vid=01CRU&amp;lang=en_US&amp;offset=0&amp;query=any,contains,991002442529702656","Catalog Record")</f>
        <v/>
      </c>
      <c r="AV37">
        <f>HYPERLINK("http://www.worldcat.org/oclc/350515","WorldCat Record")</f>
        <v/>
      </c>
      <c r="AW37" t="inlineStr">
        <is>
          <t>3901183809:eng</t>
        </is>
      </c>
      <c r="AX37" t="inlineStr">
        <is>
          <t>350515</t>
        </is>
      </c>
      <c r="AY37" t="inlineStr">
        <is>
          <t>991002442529702656</t>
        </is>
      </c>
      <c r="AZ37" t="inlineStr">
        <is>
          <t>991002442529702656</t>
        </is>
      </c>
      <c r="BA37" t="inlineStr">
        <is>
          <t>2268664490002656</t>
        </is>
      </c>
      <c r="BB37" t="inlineStr">
        <is>
          <t>BOOK</t>
        </is>
      </c>
      <c r="BE37" t="inlineStr">
        <is>
          <t>32285000331149</t>
        </is>
      </c>
      <c r="BF37" t="inlineStr">
        <is>
          <t>893329077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BL182 .F55 1984</t>
        </is>
      </c>
      <c r="E38" t="inlineStr">
        <is>
          <t>0                      BL 0182000F  55          1984</t>
        </is>
      </c>
      <c r="F38" t="inlineStr">
        <is>
          <t>God : a critical enquiry / Antony Flew.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Flew, Antony, 1923-2010.</t>
        </is>
      </c>
      <c r="N38" t="inlineStr">
        <is>
          <t>LaSalle, Ill. : Open Court Pub. Co., c1984.</t>
        </is>
      </c>
      <c r="O38" t="inlineStr">
        <is>
          <t>1984</t>
        </is>
      </c>
      <c r="P38" t="inlineStr">
        <is>
          <t>2nd ed.</t>
        </is>
      </c>
      <c r="Q38" t="inlineStr">
        <is>
          <t>eng</t>
        </is>
      </c>
      <c r="R38" t="inlineStr">
        <is>
          <t>ilu</t>
        </is>
      </c>
      <c r="S38" t="inlineStr">
        <is>
          <t>Open Court paperbacks</t>
        </is>
      </c>
      <c r="T38" t="inlineStr">
        <is>
          <t xml:space="preserve">BL </t>
        </is>
      </c>
      <c r="U38" t="n">
        <v>4</v>
      </c>
      <c r="V38" t="n">
        <v>4</v>
      </c>
      <c r="W38" t="inlineStr">
        <is>
          <t>1998-04-29</t>
        </is>
      </c>
      <c r="X38" t="inlineStr">
        <is>
          <t>1998-04-29</t>
        </is>
      </c>
      <c r="Y38" t="inlineStr">
        <is>
          <t>1990-10-03</t>
        </is>
      </c>
      <c r="Z38" t="inlineStr">
        <is>
          <t>1990-10-03</t>
        </is>
      </c>
      <c r="AA38" t="n">
        <v>385</v>
      </c>
      <c r="AB38" t="n">
        <v>335</v>
      </c>
      <c r="AC38" t="n">
        <v>338</v>
      </c>
      <c r="AD38" t="n">
        <v>4</v>
      </c>
      <c r="AE38" t="n">
        <v>4</v>
      </c>
      <c r="AF38" t="n">
        <v>20</v>
      </c>
      <c r="AG38" t="n">
        <v>20</v>
      </c>
      <c r="AH38" t="n">
        <v>10</v>
      </c>
      <c r="AI38" t="n">
        <v>10</v>
      </c>
      <c r="AJ38" t="n">
        <v>2</v>
      </c>
      <c r="AK38" t="n">
        <v>2</v>
      </c>
      <c r="AL38" t="n">
        <v>12</v>
      </c>
      <c r="AM38" t="n">
        <v>12</v>
      </c>
      <c r="AN38" t="n">
        <v>3</v>
      </c>
      <c r="AO38" t="n">
        <v>3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HYPERLINK("http://catalog.hathitrust.org/Record/000450275","HathiTrust Record")</f>
        <v/>
      </c>
      <c r="AU38">
        <f>HYPERLINK("https://creighton-primo.hosted.exlibrisgroup.com/primo-explore/search?tab=default_tab&amp;search_scope=EVERYTHING&amp;vid=01CRU&amp;lang=en_US&amp;offset=0&amp;query=any,contains,991000331469702656","Catalog Record")</f>
        <v/>
      </c>
      <c r="AV38">
        <f>HYPERLINK("http://www.worldcat.org/oclc/10207339","WorldCat Record")</f>
        <v/>
      </c>
      <c r="AW38" t="inlineStr">
        <is>
          <t>1151212393:eng</t>
        </is>
      </c>
      <c r="AX38" t="inlineStr">
        <is>
          <t>10207339</t>
        </is>
      </c>
      <c r="AY38" t="inlineStr">
        <is>
          <t>991000331469702656</t>
        </is>
      </c>
      <c r="AZ38" t="inlineStr">
        <is>
          <t>991000331469702656</t>
        </is>
      </c>
      <c r="BA38" t="inlineStr">
        <is>
          <t>2264965090002656</t>
        </is>
      </c>
      <c r="BB38" t="inlineStr">
        <is>
          <t>BOOK</t>
        </is>
      </c>
      <c r="BD38" t="inlineStr">
        <is>
          <t>9780875483719</t>
        </is>
      </c>
      <c r="BE38" t="inlineStr">
        <is>
          <t>32285000331156</t>
        </is>
      </c>
      <c r="BF38" t="inlineStr">
        <is>
          <t>893714498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BL182 .H6</t>
        </is>
      </c>
      <c r="E39" t="inlineStr">
        <is>
          <t>0                      BL 0182000H  6</t>
        </is>
      </c>
      <c r="F39" t="inlineStr">
        <is>
          <t>An introduction to natural theology.</t>
        </is>
      </c>
      <c r="H39" t="inlineStr">
        <is>
          <t>No</t>
        </is>
      </c>
      <c r="I39" t="inlineStr">
        <is>
          <t>1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M39" t="inlineStr">
        <is>
          <t>Holloway, Maurice R.</t>
        </is>
      </c>
      <c r="N39" t="inlineStr">
        <is>
          <t>New York : Appleton-Century-Crofts, [1959]</t>
        </is>
      </c>
      <c r="O39" t="inlineStr">
        <is>
          <t>1959</t>
        </is>
      </c>
      <c r="Q39" t="inlineStr">
        <is>
          <t>eng</t>
        </is>
      </c>
      <c r="R39" t="inlineStr">
        <is>
          <t>|||</t>
        </is>
      </c>
      <c r="T39" t="inlineStr">
        <is>
          <t xml:space="preserve">BL </t>
        </is>
      </c>
      <c r="U39" t="n">
        <v>1</v>
      </c>
      <c r="V39" t="n">
        <v>1</v>
      </c>
      <c r="W39" t="inlineStr">
        <is>
          <t>2001-07-17</t>
        </is>
      </c>
      <c r="X39" t="inlineStr">
        <is>
          <t>2001-07-17</t>
        </is>
      </c>
      <c r="Y39" t="inlineStr">
        <is>
          <t>1990-10-03</t>
        </is>
      </c>
      <c r="Z39" t="inlineStr">
        <is>
          <t>2000-06-14</t>
        </is>
      </c>
      <c r="AA39" t="n">
        <v>260</v>
      </c>
      <c r="AB39" t="n">
        <v>224</v>
      </c>
      <c r="AC39" t="n">
        <v>246</v>
      </c>
      <c r="AD39" t="n">
        <v>4</v>
      </c>
      <c r="AE39" t="n">
        <v>5</v>
      </c>
      <c r="AF39" t="n">
        <v>27</v>
      </c>
      <c r="AG39" t="n">
        <v>29</v>
      </c>
      <c r="AH39" t="n">
        <v>8</v>
      </c>
      <c r="AI39" t="n">
        <v>9</v>
      </c>
      <c r="AJ39" t="n">
        <v>6</v>
      </c>
      <c r="AK39" t="n">
        <v>7</v>
      </c>
      <c r="AL39" t="n">
        <v>21</v>
      </c>
      <c r="AM39" t="n">
        <v>21</v>
      </c>
      <c r="AN39" t="n">
        <v>2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HYPERLINK("http://catalog.hathitrust.org/Record/101870447","HathiTrust Record")</f>
        <v/>
      </c>
      <c r="AU39">
        <f>HYPERLINK("https://creighton-primo.hosted.exlibrisgroup.com/primo-explore/search?tab=default_tab&amp;search_scope=EVERYTHING&amp;vid=01CRU&amp;lang=en_US&amp;offset=0&amp;query=any,contains,991003059609702656","Catalog Record")</f>
        <v/>
      </c>
      <c r="AV39">
        <f>HYPERLINK("http://www.worldcat.org/oclc/1456734","WorldCat Record")</f>
        <v/>
      </c>
      <c r="AW39" t="inlineStr">
        <is>
          <t>2307939:eng</t>
        </is>
      </c>
      <c r="AX39" t="inlineStr">
        <is>
          <t>1456734</t>
        </is>
      </c>
      <c r="AY39" t="inlineStr">
        <is>
          <t>991003059609702656</t>
        </is>
      </c>
      <c r="AZ39" t="inlineStr">
        <is>
          <t>991003059609702656</t>
        </is>
      </c>
      <c r="BA39" t="inlineStr">
        <is>
          <t>2256246660002656</t>
        </is>
      </c>
      <c r="BB39" t="inlineStr">
        <is>
          <t>BOOK</t>
        </is>
      </c>
      <c r="BE39" t="inlineStr">
        <is>
          <t>32285000331180</t>
        </is>
      </c>
      <c r="BF39" t="inlineStr">
        <is>
          <t>893880786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BL182 .J33 1986</t>
        </is>
      </c>
      <c r="E40" t="inlineStr">
        <is>
          <t>0                      BL 0182000J  33          1986</t>
        </is>
      </c>
      <c r="F40" t="inlineStr">
        <is>
          <t>Lord Gifford and his lectures : a centenary retrospect / Stanley L. Jaki.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Jaki, Stanley L.</t>
        </is>
      </c>
      <c r="N40" t="inlineStr">
        <is>
          <t>Edinburgh : Scottish Academic Press ; Macon, Ga. : Mercer University Press, 1986.</t>
        </is>
      </c>
      <c r="O40" t="inlineStr">
        <is>
          <t>1986</t>
        </is>
      </c>
      <c r="Q40" t="inlineStr">
        <is>
          <t>eng</t>
        </is>
      </c>
      <c r="R40" t="inlineStr">
        <is>
          <t>stk</t>
        </is>
      </c>
      <c r="T40" t="inlineStr">
        <is>
          <t xml:space="preserve">BL </t>
        </is>
      </c>
      <c r="U40" t="n">
        <v>2</v>
      </c>
      <c r="V40" t="n">
        <v>2</v>
      </c>
      <c r="W40" t="inlineStr">
        <is>
          <t>1996-11-05</t>
        </is>
      </c>
      <c r="X40" t="inlineStr">
        <is>
          <t>1996-11-05</t>
        </is>
      </c>
      <c r="Y40" t="inlineStr">
        <is>
          <t>1990-10-03</t>
        </is>
      </c>
      <c r="Z40" t="inlineStr">
        <is>
          <t>1990-10-03</t>
        </is>
      </c>
      <c r="AA40" t="n">
        <v>253</v>
      </c>
      <c r="AB40" t="n">
        <v>193</v>
      </c>
      <c r="AC40" t="n">
        <v>210</v>
      </c>
      <c r="AD40" t="n">
        <v>1</v>
      </c>
      <c r="AE40" t="n">
        <v>1</v>
      </c>
      <c r="AF40" t="n">
        <v>15</v>
      </c>
      <c r="AG40" t="n">
        <v>16</v>
      </c>
      <c r="AH40" t="n">
        <v>6</v>
      </c>
      <c r="AI40" t="n">
        <v>6</v>
      </c>
      <c r="AJ40" t="n">
        <v>3</v>
      </c>
      <c r="AK40" t="n">
        <v>4</v>
      </c>
      <c r="AL40" t="n">
        <v>9</v>
      </c>
      <c r="AM40" t="n">
        <v>10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HYPERLINK("http://catalog.hathitrust.org/Record/000814071","HathiTrust Record")</f>
        <v/>
      </c>
      <c r="AU40">
        <f>HYPERLINK("https://creighton-primo.hosted.exlibrisgroup.com/primo-explore/search?tab=default_tab&amp;search_scope=EVERYTHING&amp;vid=01CRU&amp;lang=en_US&amp;offset=0&amp;query=any,contains,991001143659702656","Catalog Record")</f>
        <v/>
      </c>
      <c r="AV40">
        <f>HYPERLINK("http://www.worldcat.org/oclc/16755968","WorldCat Record")</f>
        <v/>
      </c>
      <c r="AW40" t="inlineStr">
        <is>
          <t>13194998:eng</t>
        </is>
      </c>
      <c r="AX40" t="inlineStr">
        <is>
          <t>16755968</t>
        </is>
      </c>
      <c r="AY40" t="inlineStr">
        <is>
          <t>991001143659702656</t>
        </is>
      </c>
      <c r="AZ40" t="inlineStr">
        <is>
          <t>991001143659702656</t>
        </is>
      </c>
      <c r="BA40" t="inlineStr">
        <is>
          <t>2263134290002656</t>
        </is>
      </c>
      <c r="BB40" t="inlineStr">
        <is>
          <t>BOOK</t>
        </is>
      </c>
      <c r="BD40" t="inlineStr">
        <is>
          <t>9780707304656</t>
        </is>
      </c>
      <c r="BE40" t="inlineStr">
        <is>
          <t>32285000331198</t>
        </is>
      </c>
      <c r="BF40" t="inlineStr">
        <is>
          <t>893351790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BL1875.L56 B47</t>
        </is>
      </c>
      <c r="E41" t="inlineStr">
        <is>
          <t>0                      BL 1875000L  56                 B  47</t>
        </is>
      </c>
      <c r="F41" t="inlineStr">
        <is>
          <t>The syncretic religion of Lin Chao-en / Judith A. Berling.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Berling, Judith A.</t>
        </is>
      </c>
      <c r="N41" t="inlineStr">
        <is>
          <t>New York : Columbia University Press, 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S41" t="inlineStr">
        <is>
          <t>Buddhist studies and translations</t>
        </is>
      </c>
      <c r="T41" t="inlineStr">
        <is>
          <t xml:space="preserve">BL </t>
        </is>
      </c>
      <c r="U41" t="n">
        <v>2</v>
      </c>
      <c r="V41" t="n">
        <v>2</v>
      </c>
      <c r="W41" t="inlineStr">
        <is>
          <t>1995-03-09</t>
        </is>
      </c>
      <c r="X41" t="inlineStr">
        <is>
          <t>1995-03-09</t>
        </is>
      </c>
      <c r="Y41" t="inlineStr">
        <is>
          <t>1990-10-18</t>
        </is>
      </c>
      <c r="Z41" t="inlineStr">
        <is>
          <t>1990-10-18</t>
        </is>
      </c>
      <c r="AA41" t="n">
        <v>398</v>
      </c>
      <c r="AB41" t="n">
        <v>309</v>
      </c>
      <c r="AC41" t="n">
        <v>314</v>
      </c>
      <c r="AD41" t="n">
        <v>2</v>
      </c>
      <c r="AE41" t="n">
        <v>2</v>
      </c>
      <c r="AF41" t="n">
        <v>14</v>
      </c>
      <c r="AG41" t="n">
        <v>14</v>
      </c>
      <c r="AH41" t="n">
        <v>4</v>
      </c>
      <c r="AI41" t="n">
        <v>4</v>
      </c>
      <c r="AJ41" t="n">
        <v>4</v>
      </c>
      <c r="AK41" t="n">
        <v>4</v>
      </c>
      <c r="AL41" t="n">
        <v>9</v>
      </c>
      <c r="AM41" t="n">
        <v>9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HYPERLINK("https://creighton-primo.hosted.exlibrisgroup.com/primo-explore/search?tab=default_tab&amp;search_scope=EVERYTHING&amp;vid=01CRU&amp;lang=en_US&amp;offset=0&amp;query=any,contains,991004883849702656","Catalog Record")</f>
        <v/>
      </c>
      <c r="AV41">
        <f>HYPERLINK("http://www.worldcat.org/oclc/5830536","WorldCat Record")</f>
        <v/>
      </c>
      <c r="AW41" t="inlineStr">
        <is>
          <t>420276:eng</t>
        </is>
      </c>
      <c r="AX41" t="inlineStr">
        <is>
          <t>5830536</t>
        </is>
      </c>
      <c r="AY41" t="inlineStr">
        <is>
          <t>991004883849702656</t>
        </is>
      </c>
      <c r="AZ41" t="inlineStr">
        <is>
          <t>991004883849702656</t>
        </is>
      </c>
      <c r="BA41" t="inlineStr">
        <is>
          <t>2260675980002656</t>
        </is>
      </c>
      <c r="BB41" t="inlineStr">
        <is>
          <t>BOOK</t>
        </is>
      </c>
      <c r="BD41" t="inlineStr">
        <is>
          <t>9780231048705</t>
        </is>
      </c>
      <c r="BE41" t="inlineStr">
        <is>
          <t>32285000350396</t>
        </is>
      </c>
      <c r="BF41" t="inlineStr">
        <is>
          <t>893350467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BL1900.L3 C35 1964</t>
        </is>
      </c>
      <c r="E42" t="inlineStr">
        <is>
          <t>0                      BL 1900000L  3                  C  35          1964</t>
        </is>
      </c>
      <c r="F42" t="inlineStr">
        <is>
          <t>The canon of reason and virtue ... being Lao-tze's Tao teh king; Chinese and English by Paul Carus.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Laozi.</t>
        </is>
      </c>
      <c r="N42" t="inlineStr">
        <is>
          <t>La Salle, Ill., Open Court Pub. Co., 1964 [c1927]</t>
        </is>
      </c>
      <c r="O42" t="inlineStr">
        <is>
          <t>1964</t>
        </is>
      </c>
      <c r="Q42" t="inlineStr">
        <is>
          <t>eng</t>
        </is>
      </c>
      <c r="R42" t="inlineStr">
        <is>
          <t>___</t>
        </is>
      </c>
      <c r="T42" t="inlineStr">
        <is>
          <t xml:space="preserve">BL </t>
        </is>
      </c>
      <c r="U42" t="n">
        <v>6</v>
      </c>
      <c r="V42" t="n">
        <v>6</v>
      </c>
      <c r="W42" t="inlineStr">
        <is>
          <t>1995-10-05</t>
        </is>
      </c>
      <c r="X42" t="inlineStr">
        <is>
          <t>1995-10-05</t>
        </is>
      </c>
      <c r="Y42" t="inlineStr">
        <is>
          <t>1990-10-18</t>
        </is>
      </c>
      <c r="Z42" t="inlineStr">
        <is>
          <t>1990-10-18</t>
        </is>
      </c>
      <c r="AA42" t="n">
        <v>110</v>
      </c>
      <c r="AB42" t="n">
        <v>103</v>
      </c>
      <c r="AC42" t="n">
        <v>285</v>
      </c>
      <c r="AD42" t="n">
        <v>1</v>
      </c>
      <c r="AE42" t="n">
        <v>2</v>
      </c>
      <c r="AF42" t="n">
        <v>7</v>
      </c>
      <c r="AG42" t="n">
        <v>19</v>
      </c>
      <c r="AH42" t="n">
        <v>2</v>
      </c>
      <c r="AI42" t="n">
        <v>6</v>
      </c>
      <c r="AJ42" t="n">
        <v>3</v>
      </c>
      <c r="AK42" t="n">
        <v>6</v>
      </c>
      <c r="AL42" t="n">
        <v>5</v>
      </c>
      <c r="AM42" t="n">
        <v>10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HYPERLINK("https://creighton-primo.hosted.exlibrisgroup.com/primo-explore/search?tab=default_tab&amp;search_scope=EVERYTHING&amp;vid=01CRU&amp;lang=en_US&amp;offset=0&amp;query=any,contains,991003450069702656","Catalog Record")</f>
        <v/>
      </c>
      <c r="AV42">
        <f>HYPERLINK("http://www.worldcat.org/oclc/7815528","WorldCat Record")</f>
        <v/>
      </c>
      <c r="AW42" t="inlineStr">
        <is>
          <t>5218813817:eng</t>
        </is>
      </c>
      <c r="AX42" t="inlineStr">
        <is>
          <t>7815528</t>
        </is>
      </c>
      <c r="AY42" t="inlineStr">
        <is>
          <t>991003450069702656</t>
        </is>
      </c>
      <c r="AZ42" t="inlineStr">
        <is>
          <t>991003450069702656</t>
        </is>
      </c>
      <c r="BA42" t="inlineStr">
        <is>
          <t>2270323620002656</t>
        </is>
      </c>
      <c r="BB42" t="inlineStr">
        <is>
          <t>BOOK</t>
        </is>
      </c>
      <c r="BE42" t="inlineStr">
        <is>
          <t>32285000350461</t>
        </is>
      </c>
      <c r="BF42" t="inlineStr">
        <is>
          <t>893793610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BL200 .A94</t>
        </is>
      </c>
      <c r="E43" t="inlineStr">
        <is>
          <t>0                      BL 0200000A  94</t>
        </is>
      </c>
      <c r="F43" t="inlineStr">
        <is>
          <t>The God of philosophy / by Francis Aveling.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Aveling, Francis, 1875-1941.</t>
        </is>
      </c>
      <c r="N43" t="inlineStr">
        <is>
          <t>London : Sands ; St.Louis, Mo. : Herder, 1906.</t>
        </is>
      </c>
      <c r="O43" t="inlineStr">
        <is>
          <t>1906</t>
        </is>
      </c>
      <c r="Q43" t="inlineStr">
        <is>
          <t>eng</t>
        </is>
      </c>
      <c r="R43" t="inlineStr">
        <is>
          <t>enk</t>
        </is>
      </c>
      <c r="S43" t="inlineStr">
        <is>
          <t>Expository essays in Christian philosophy</t>
        </is>
      </c>
      <c r="T43" t="inlineStr">
        <is>
          <t xml:space="preserve">BL </t>
        </is>
      </c>
      <c r="U43" t="n">
        <v>7</v>
      </c>
      <c r="V43" t="n">
        <v>7</v>
      </c>
      <c r="W43" t="inlineStr">
        <is>
          <t>1996-12-03</t>
        </is>
      </c>
      <c r="X43" t="inlineStr">
        <is>
          <t>1996-12-03</t>
        </is>
      </c>
      <c r="Y43" t="inlineStr">
        <is>
          <t>1990-10-03</t>
        </is>
      </c>
      <c r="Z43" t="inlineStr">
        <is>
          <t>1990-10-03</t>
        </is>
      </c>
      <c r="AA43" t="n">
        <v>81</v>
      </c>
      <c r="AB43" t="n">
        <v>58</v>
      </c>
      <c r="AC43" t="n">
        <v>101</v>
      </c>
      <c r="AD43" t="n">
        <v>2</v>
      </c>
      <c r="AE43" t="n">
        <v>2</v>
      </c>
      <c r="AF43" t="n">
        <v>13</v>
      </c>
      <c r="AG43" t="n">
        <v>17</v>
      </c>
      <c r="AH43" t="n">
        <v>3</v>
      </c>
      <c r="AI43" t="n">
        <v>4</v>
      </c>
      <c r="AJ43" t="n">
        <v>2</v>
      </c>
      <c r="AK43" t="n">
        <v>3</v>
      </c>
      <c r="AL43" t="n">
        <v>12</v>
      </c>
      <c r="AM43" t="n">
        <v>15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Yes</t>
        </is>
      </c>
      <c r="AS43" t="inlineStr">
        <is>
          <t>No</t>
        </is>
      </c>
      <c r="AT43">
        <f>HYPERLINK("http://catalog.hathitrust.org/Record/008623672","HathiTrust Record")</f>
        <v/>
      </c>
      <c r="AU43">
        <f>HYPERLINK("https://creighton-primo.hosted.exlibrisgroup.com/primo-explore/search?tab=default_tab&amp;search_scope=EVERYTHING&amp;vid=01CRU&amp;lang=en_US&amp;offset=0&amp;query=any,contains,991004468669702656","Catalog Record")</f>
        <v/>
      </c>
      <c r="AV43">
        <f>HYPERLINK("http://www.worldcat.org/oclc/3584700","WorldCat Record")</f>
        <v/>
      </c>
      <c r="AW43" t="inlineStr">
        <is>
          <t>5751297:eng</t>
        </is>
      </c>
      <c r="AX43" t="inlineStr">
        <is>
          <t>3584700</t>
        </is>
      </c>
      <c r="AY43" t="inlineStr">
        <is>
          <t>991004468669702656</t>
        </is>
      </c>
      <c r="AZ43" t="inlineStr">
        <is>
          <t>991004468669702656</t>
        </is>
      </c>
      <c r="BA43" t="inlineStr">
        <is>
          <t>2265171770002656</t>
        </is>
      </c>
      <c r="BB43" t="inlineStr">
        <is>
          <t>BOOK</t>
        </is>
      </c>
      <c r="BE43" t="inlineStr">
        <is>
          <t>32285000331214</t>
        </is>
      </c>
      <c r="BF43" t="inlineStr">
        <is>
          <t>893888747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BL200 .B45</t>
        </is>
      </c>
      <c r="E44" t="inlineStr">
        <is>
          <t>0                      BL 0200000B  45</t>
        </is>
      </c>
      <c r="F44" t="inlineStr">
        <is>
          <t>Fundamentals in the philosophy of God.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Benedetto, Arnold J. (Arnold Joseph), 1916-1966.</t>
        </is>
      </c>
      <c r="N44" t="inlineStr">
        <is>
          <t>New York, Macmillan [1963]</t>
        </is>
      </c>
      <c r="O44" t="inlineStr">
        <is>
          <t>1963</t>
        </is>
      </c>
      <c r="Q44" t="inlineStr">
        <is>
          <t>eng</t>
        </is>
      </c>
      <c r="R44" t="inlineStr">
        <is>
          <t>___</t>
        </is>
      </c>
      <c r="T44" t="inlineStr">
        <is>
          <t xml:space="preserve">BL </t>
        </is>
      </c>
      <c r="U44" t="n">
        <v>2</v>
      </c>
      <c r="V44" t="n">
        <v>2</v>
      </c>
      <c r="W44" t="inlineStr">
        <is>
          <t>1995-11-16</t>
        </is>
      </c>
      <c r="X44" t="inlineStr">
        <is>
          <t>1995-11-16</t>
        </is>
      </c>
      <c r="Y44" t="inlineStr">
        <is>
          <t>1990-10-03</t>
        </is>
      </c>
      <c r="Z44" t="inlineStr">
        <is>
          <t>1990-10-03</t>
        </is>
      </c>
      <c r="AA44" t="n">
        <v>268</v>
      </c>
      <c r="AB44" t="n">
        <v>234</v>
      </c>
      <c r="AC44" t="n">
        <v>241</v>
      </c>
      <c r="AD44" t="n">
        <v>2</v>
      </c>
      <c r="AE44" t="n">
        <v>2</v>
      </c>
      <c r="AF44" t="n">
        <v>28</v>
      </c>
      <c r="AG44" t="n">
        <v>28</v>
      </c>
      <c r="AH44" t="n">
        <v>9</v>
      </c>
      <c r="AI44" t="n">
        <v>9</v>
      </c>
      <c r="AJ44" t="n">
        <v>6</v>
      </c>
      <c r="AK44" t="n">
        <v>6</v>
      </c>
      <c r="AL44" t="n">
        <v>22</v>
      </c>
      <c r="AM44" t="n">
        <v>22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Yes</t>
        </is>
      </c>
      <c r="AS44" t="inlineStr">
        <is>
          <t>No</t>
        </is>
      </c>
      <c r="AT44">
        <f>HYPERLINK("http://catalog.hathitrust.org/Record/001391834","HathiTrust Record")</f>
        <v/>
      </c>
      <c r="AU44">
        <f>HYPERLINK("https://creighton-primo.hosted.exlibrisgroup.com/primo-explore/search?tab=default_tab&amp;search_scope=EVERYTHING&amp;vid=01CRU&amp;lang=en_US&amp;offset=0&amp;query=any,contains,991003772229702656","Catalog Record")</f>
        <v/>
      </c>
      <c r="AV44">
        <f>HYPERLINK("http://www.worldcat.org/oclc/1474146","WorldCat Record")</f>
        <v/>
      </c>
      <c r="AW44" t="inlineStr">
        <is>
          <t>2359103:eng</t>
        </is>
      </c>
      <c r="AX44" t="inlineStr">
        <is>
          <t>1474146</t>
        </is>
      </c>
      <c r="AY44" t="inlineStr">
        <is>
          <t>991003772229702656</t>
        </is>
      </c>
      <c r="AZ44" t="inlineStr">
        <is>
          <t>991003772229702656</t>
        </is>
      </c>
      <c r="BA44" t="inlineStr">
        <is>
          <t>2255099160002656</t>
        </is>
      </c>
      <c r="BB44" t="inlineStr">
        <is>
          <t>BOOK</t>
        </is>
      </c>
      <c r="BE44" t="inlineStr">
        <is>
          <t>32285000331230</t>
        </is>
      </c>
      <c r="BF44" t="inlineStr">
        <is>
          <t>893518856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BL200 .H32</t>
        </is>
      </c>
      <c r="E45" t="inlineStr">
        <is>
          <t>0                      BL 0200000H  32</t>
        </is>
      </c>
      <c r="F45" t="inlineStr">
        <is>
          <t>Aquinas to Whitehead : seven centuries of metaphysics of religion / by Charles E. Hartshorne.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Hartshorne, Charles, 1897-2000.</t>
        </is>
      </c>
      <c r="N45" t="inlineStr">
        <is>
          <t>Milwaukee : Marquette University Publications, 1976.</t>
        </is>
      </c>
      <c r="O45" t="inlineStr">
        <is>
          <t>1976</t>
        </is>
      </c>
      <c r="Q45" t="inlineStr">
        <is>
          <t>eng</t>
        </is>
      </c>
      <c r="R45" t="inlineStr">
        <is>
          <t>wiu</t>
        </is>
      </c>
      <c r="S45" t="inlineStr">
        <is>
          <t>The Aquinas lecture ; 1976</t>
        </is>
      </c>
      <c r="T45" t="inlineStr">
        <is>
          <t xml:space="preserve">BL </t>
        </is>
      </c>
      <c r="U45" t="n">
        <v>4</v>
      </c>
      <c r="V45" t="n">
        <v>4</v>
      </c>
      <c r="W45" t="inlineStr">
        <is>
          <t>2004-02-10</t>
        </is>
      </c>
      <c r="X45" t="inlineStr">
        <is>
          <t>2004-02-10</t>
        </is>
      </c>
      <c r="Y45" t="inlineStr">
        <is>
          <t>1990-10-03</t>
        </is>
      </c>
      <c r="Z45" t="inlineStr">
        <is>
          <t>1990-10-03</t>
        </is>
      </c>
      <c r="AA45" t="n">
        <v>498</v>
      </c>
      <c r="AB45" t="n">
        <v>402</v>
      </c>
      <c r="AC45" t="n">
        <v>576</v>
      </c>
      <c r="AD45" t="n">
        <v>3</v>
      </c>
      <c r="AE45" t="n">
        <v>3</v>
      </c>
      <c r="AF45" t="n">
        <v>33</v>
      </c>
      <c r="AG45" t="n">
        <v>35</v>
      </c>
      <c r="AH45" t="n">
        <v>10</v>
      </c>
      <c r="AI45" t="n">
        <v>12</v>
      </c>
      <c r="AJ45" t="n">
        <v>9</v>
      </c>
      <c r="AK45" t="n">
        <v>10</v>
      </c>
      <c r="AL45" t="n">
        <v>25</v>
      </c>
      <c r="AM45" t="n">
        <v>25</v>
      </c>
      <c r="AN45" t="n">
        <v>1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HYPERLINK("http://catalog.hathitrust.org/Record/000713867","HathiTrust Record")</f>
        <v/>
      </c>
      <c r="AU45">
        <f>HYPERLINK("https://creighton-primo.hosted.exlibrisgroup.com/primo-explore/search?tab=default_tab&amp;search_scope=EVERYTHING&amp;vid=01CRU&amp;lang=en_US&amp;offset=0&amp;query=any,contains,991004059989702656","Catalog Record")</f>
        <v/>
      </c>
      <c r="AV45">
        <f>HYPERLINK("http://www.worldcat.org/oclc/2238150","WorldCat Record")</f>
        <v/>
      </c>
      <c r="AW45" t="inlineStr">
        <is>
          <t>797064837:eng</t>
        </is>
      </c>
      <c r="AX45" t="inlineStr">
        <is>
          <t>2238150</t>
        </is>
      </c>
      <c r="AY45" t="inlineStr">
        <is>
          <t>991004059989702656</t>
        </is>
      </c>
      <c r="AZ45" t="inlineStr">
        <is>
          <t>991004059989702656</t>
        </is>
      </c>
      <c r="BA45" t="inlineStr">
        <is>
          <t>2257608390002656</t>
        </is>
      </c>
      <c r="BB45" t="inlineStr">
        <is>
          <t>BOOK</t>
        </is>
      </c>
      <c r="BD45" t="inlineStr">
        <is>
          <t>9780874621419</t>
        </is>
      </c>
      <c r="BE45" t="inlineStr">
        <is>
          <t>32285000331305</t>
        </is>
      </c>
      <c r="BF45" t="inlineStr">
        <is>
          <t>893423338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BL200 .L3 1969</t>
        </is>
      </c>
      <c r="E46" t="inlineStr">
        <is>
          <t>0                      BL 0200000L  3           1969</t>
        </is>
      </c>
      <c r="F46" t="inlineStr">
        <is>
          <t>Theism and cosmology, being the first series of a course of Gifford lectures on the general subject of metaphysics and theism given in the University of Glasgow in 1939.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Laird, John, 1887-1946.</t>
        </is>
      </c>
      <c r="N46" t="inlineStr">
        <is>
          <t>Freeport, N.Y., Books for Libraries Press [1969]</t>
        </is>
      </c>
      <c r="O46" t="inlineStr">
        <is>
          <t>1969</t>
        </is>
      </c>
      <c r="Q46" t="inlineStr">
        <is>
          <t>eng</t>
        </is>
      </c>
      <c r="R46" t="inlineStr">
        <is>
          <t>nyu</t>
        </is>
      </c>
      <c r="S46" t="inlineStr">
        <is>
          <t>Essay index reprint series</t>
        </is>
      </c>
      <c r="T46" t="inlineStr">
        <is>
          <t xml:space="preserve">BL </t>
        </is>
      </c>
      <c r="U46" t="n">
        <v>2</v>
      </c>
      <c r="V46" t="n">
        <v>2</v>
      </c>
      <c r="W46" t="inlineStr">
        <is>
          <t>1995-12-07</t>
        </is>
      </c>
      <c r="X46" t="inlineStr">
        <is>
          <t>1995-12-07</t>
        </is>
      </c>
      <c r="Y46" t="inlineStr">
        <is>
          <t>1990-10-03</t>
        </is>
      </c>
      <c r="Z46" t="inlineStr">
        <is>
          <t>1990-10-03</t>
        </is>
      </c>
      <c r="AA46" t="n">
        <v>217</v>
      </c>
      <c r="AB46" t="n">
        <v>201</v>
      </c>
      <c r="AC46" t="n">
        <v>453</v>
      </c>
      <c r="AD46" t="n">
        <v>1</v>
      </c>
      <c r="AE46" t="n">
        <v>2</v>
      </c>
      <c r="AF46" t="n">
        <v>7</v>
      </c>
      <c r="AG46" t="n">
        <v>18</v>
      </c>
      <c r="AH46" t="n">
        <v>5</v>
      </c>
      <c r="AI46" t="n">
        <v>7</v>
      </c>
      <c r="AJ46" t="n">
        <v>1</v>
      </c>
      <c r="AK46" t="n">
        <v>5</v>
      </c>
      <c r="AL46" t="n">
        <v>3</v>
      </c>
      <c r="AM46" t="n">
        <v>10</v>
      </c>
      <c r="AN46" t="n">
        <v>0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HYPERLINK("https://creighton-primo.hosted.exlibrisgroup.com/primo-explore/search?tab=default_tab&amp;search_scope=EVERYTHING&amp;vid=01CRU&amp;lang=en_US&amp;offset=0&amp;query=any,contains,991000074049702656","Catalog Record")</f>
        <v/>
      </c>
      <c r="AV46">
        <f>HYPERLINK("http://www.worldcat.org/oclc/29356","WorldCat Record")</f>
        <v/>
      </c>
      <c r="AW46" t="inlineStr">
        <is>
          <t>1175139:eng</t>
        </is>
      </c>
      <c r="AX46" t="inlineStr">
        <is>
          <t>29356</t>
        </is>
      </c>
      <c r="AY46" t="inlineStr">
        <is>
          <t>991000074049702656</t>
        </is>
      </c>
      <c r="AZ46" t="inlineStr">
        <is>
          <t>991000074049702656</t>
        </is>
      </c>
      <c r="BA46" t="inlineStr">
        <is>
          <t>2266317460002656</t>
        </is>
      </c>
      <c r="BB46" t="inlineStr">
        <is>
          <t>BOOK</t>
        </is>
      </c>
      <c r="BD46" t="inlineStr">
        <is>
          <t>9780836911473</t>
        </is>
      </c>
      <c r="BE46" t="inlineStr">
        <is>
          <t>32285000331370</t>
        </is>
      </c>
      <c r="BF46" t="inlineStr">
        <is>
          <t>893601426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BL200 .M318 1967</t>
        </is>
      </c>
      <c r="E47" t="inlineStr">
        <is>
          <t>0                      BL 0200000M  318         1967</t>
        </is>
      </c>
      <c r="F47" t="inlineStr">
        <is>
          <t>Existence and analogy; a sequel to "He who is," by E. L. Mascall.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Mascall, E. L. (Eric Lionel), 1905-1993.</t>
        </is>
      </c>
      <c r="N47" t="inlineStr">
        <is>
          <t>[Hamden, Conn.] Archon Books, 1967.</t>
        </is>
      </c>
      <c r="O47" t="inlineStr">
        <is>
          <t>1967</t>
        </is>
      </c>
      <c r="Q47" t="inlineStr">
        <is>
          <t>eng</t>
        </is>
      </c>
      <c r="R47" t="inlineStr">
        <is>
          <t>ctu</t>
        </is>
      </c>
      <c r="T47" t="inlineStr">
        <is>
          <t xml:space="preserve">BL </t>
        </is>
      </c>
      <c r="U47" t="n">
        <v>3</v>
      </c>
      <c r="V47" t="n">
        <v>3</v>
      </c>
      <c r="W47" t="inlineStr">
        <is>
          <t>2000-02-24</t>
        </is>
      </c>
      <c r="X47" t="inlineStr">
        <is>
          <t>2000-02-24</t>
        </is>
      </c>
      <c r="Y47" t="inlineStr">
        <is>
          <t>1990-10-03</t>
        </is>
      </c>
      <c r="Z47" t="inlineStr">
        <is>
          <t>1990-10-03</t>
        </is>
      </c>
      <c r="AA47" t="n">
        <v>299</v>
      </c>
      <c r="AB47" t="n">
        <v>282</v>
      </c>
      <c r="AC47" t="n">
        <v>529</v>
      </c>
      <c r="AD47" t="n">
        <v>3</v>
      </c>
      <c r="AE47" t="n">
        <v>4</v>
      </c>
      <c r="AF47" t="n">
        <v>16</v>
      </c>
      <c r="AG47" t="n">
        <v>36</v>
      </c>
      <c r="AH47" t="n">
        <v>3</v>
      </c>
      <c r="AI47" t="n">
        <v>10</v>
      </c>
      <c r="AJ47" t="n">
        <v>4</v>
      </c>
      <c r="AK47" t="n">
        <v>9</v>
      </c>
      <c r="AL47" t="n">
        <v>10</v>
      </c>
      <c r="AM47" t="n">
        <v>25</v>
      </c>
      <c r="AN47" t="n">
        <v>2</v>
      </c>
      <c r="AO47" t="n">
        <v>2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HYPERLINK("http://catalog.hathitrust.org/Record/004479675","HathiTrust Record")</f>
        <v/>
      </c>
      <c r="AU47">
        <f>HYPERLINK("https://creighton-primo.hosted.exlibrisgroup.com/primo-explore/search?tab=default_tab&amp;search_scope=EVERYTHING&amp;vid=01CRU&amp;lang=en_US&amp;offset=0&amp;query=any,contains,991003331159702656","Catalog Record")</f>
        <v/>
      </c>
      <c r="AV47">
        <f>HYPERLINK("http://www.worldcat.org/oclc/862153","WorldCat Record")</f>
        <v/>
      </c>
      <c r="AW47" t="inlineStr">
        <is>
          <t>433792572:eng</t>
        </is>
      </c>
      <c r="AX47" t="inlineStr">
        <is>
          <t>862153</t>
        </is>
      </c>
      <c r="AY47" t="inlineStr">
        <is>
          <t>991003331159702656</t>
        </is>
      </c>
      <c r="AZ47" t="inlineStr">
        <is>
          <t>991003331159702656</t>
        </is>
      </c>
      <c r="BA47" t="inlineStr">
        <is>
          <t>2262381710002656</t>
        </is>
      </c>
      <c r="BB47" t="inlineStr">
        <is>
          <t>BOOK</t>
        </is>
      </c>
      <c r="BE47" t="inlineStr">
        <is>
          <t>32285000331396</t>
        </is>
      </c>
      <c r="BF47" t="inlineStr">
        <is>
          <t>893342467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BL200 .O9</t>
        </is>
      </c>
      <c r="E48" t="inlineStr">
        <is>
          <t>0                      BL 0200000O  9</t>
        </is>
      </c>
      <c r="F48" t="inlineStr">
        <is>
          <t>Concepts of deity [by] H. P. Owen.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Owen, Huw Parri.</t>
        </is>
      </c>
      <c r="N48" t="inlineStr">
        <is>
          <t>[New York] Herder and Herder [1971]</t>
        </is>
      </c>
      <c r="O48" t="inlineStr">
        <is>
          <t>1971</t>
        </is>
      </c>
      <c r="Q48" t="inlineStr">
        <is>
          <t>eng</t>
        </is>
      </c>
      <c r="R48" t="inlineStr">
        <is>
          <t>nyu</t>
        </is>
      </c>
      <c r="S48" t="inlineStr">
        <is>
          <t>Philosophy of religion series</t>
        </is>
      </c>
      <c r="T48" t="inlineStr">
        <is>
          <t xml:space="preserve">BL </t>
        </is>
      </c>
      <c r="U48" t="n">
        <v>3</v>
      </c>
      <c r="V48" t="n">
        <v>3</v>
      </c>
      <c r="W48" t="inlineStr">
        <is>
          <t>1993-09-13</t>
        </is>
      </c>
      <c r="X48" t="inlineStr">
        <is>
          <t>1993-09-13</t>
        </is>
      </c>
      <c r="Y48" t="inlineStr">
        <is>
          <t>1990-10-03</t>
        </is>
      </c>
      <c r="Z48" t="inlineStr">
        <is>
          <t>1990-10-03</t>
        </is>
      </c>
      <c r="AA48" t="n">
        <v>260</v>
      </c>
      <c r="AB48" t="n">
        <v>242</v>
      </c>
      <c r="AC48" t="n">
        <v>358</v>
      </c>
      <c r="AD48" t="n">
        <v>1</v>
      </c>
      <c r="AE48" t="n">
        <v>2</v>
      </c>
      <c r="AF48" t="n">
        <v>21</v>
      </c>
      <c r="AG48" t="n">
        <v>26</v>
      </c>
      <c r="AH48" t="n">
        <v>8</v>
      </c>
      <c r="AI48" t="n">
        <v>10</v>
      </c>
      <c r="AJ48" t="n">
        <v>6</v>
      </c>
      <c r="AK48" t="n">
        <v>8</v>
      </c>
      <c r="AL48" t="n">
        <v>14</v>
      </c>
      <c r="AM48" t="n">
        <v>17</v>
      </c>
      <c r="AN48" t="n">
        <v>0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HYPERLINK("https://creighton-primo.hosted.exlibrisgroup.com/primo-explore/search?tab=default_tab&amp;search_scope=EVERYTHING&amp;vid=01CRU&amp;lang=en_US&amp;offset=0&amp;query=any,contains,991000905139702656","Catalog Record")</f>
        <v/>
      </c>
      <c r="AV48">
        <f>HYPERLINK("http://www.worldcat.org/oclc/156716","WorldCat Record")</f>
        <v/>
      </c>
      <c r="AW48" t="inlineStr">
        <is>
          <t>1169894:eng</t>
        </is>
      </c>
      <c r="AX48" t="inlineStr">
        <is>
          <t>156716</t>
        </is>
      </c>
      <c r="AY48" t="inlineStr">
        <is>
          <t>991000905139702656</t>
        </is>
      </c>
      <c r="AZ48" t="inlineStr">
        <is>
          <t>991000905139702656</t>
        </is>
      </c>
      <c r="BA48" t="inlineStr">
        <is>
          <t>2255578910002656</t>
        </is>
      </c>
      <c r="BB48" t="inlineStr">
        <is>
          <t>BOOK</t>
        </is>
      </c>
      <c r="BE48" t="inlineStr">
        <is>
          <t>32285000331438</t>
        </is>
      </c>
      <c r="BF48" t="inlineStr">
        <is>
          <t>893407640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BL200 .R4</t>
        </is>
      </c>
      <c r="E49" t="inlineStr">
        <is>
          <t>0                      BL 0200000R  4</t>
        </is>
      </c>
      <c r="F49" t="inlineStr">
        <is>
          <t>The philosophy of God.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Renard, Henri, 1894-</t>
        </is>
      </c>
      <c r="N49" t="inlineStr">
        <is>
          <t>Milwaukee, Bruce [1951]</t>
        </is>
      </c>
      <c r="O49" t="inlineStr">
        <is>
          <t>1951</t>
        </is>
      </c>
      <c r="Q49" t="inlineStr">
        <is>
          <t>eng</t>
        </is>
      </c>
      <c r="R49" t="inlineStr">
        <is>
          <t>___</t>
        </is>
      </c>
      <c r="S49" t="inlineStr">
        <is>
          <t>Science and culture texts</t>
        </is>
      </c>
      <c r="T49" t="inlineStr">
        <is>
          <t xml:space="preserve">BL </t>
        </is>
      </c>
      <c r="U49" t="n">
        <v>5</v>
      </c>
      <c r="V49" t="n">
        <v>5</v>
      </c>
      <c r="W49" t="inlineStr">
        <is>
          <t>2008-10-14</t>
        </is>
      </c>
      <c r="X49" t="inlineStr">
        <is>
          <t>2008-10-14</t>
        </is>
      </c>
      <c r="Y49" t="inlineStr">
        <is>
          <t>1990-10-03</t>
        </is>
      </c>
      <c r="Z49" t="inlineStr">
        <is>
          <t>1990-10-03</t>
        </is>
      </c>
      <c r="AA49" t="n">
        <v>216</v>
      </c>
      <c r="AB49" t="n">
        <v>185</v>
      </c>
      <c r="AC49" t="n">
        <v>185</v>
      </c>
      <c r="AD49" t="n">
        <v>2</v>
      </c>
      <c r="AE49" t="n">
        <v>2</v>
      </c>
      <c r="AF49" t="n">
        <v>28</v>
      </c>
      <c r="AG49" t="n">
        <v>28</v>
      </c>
      <c r="AH49" t="n">
        <v>9</v>
      </c>
      <c r="AI49" t="n">
        <v>9</v>
      </c>
      <c r="AJ49" t="n">
        <v>8</v>
      </c>
      <c r="AK49" t="n">
        <v>8</v>
      </c>
      <c r="AL49" t="n">
        <v>22</v>
      </c>
      <c r="AM49" t="n">
        <v>22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HYPERLINK("https://creighton-primo.hosted.exlibrisgroup.com/primo-explore/search?tab=default_tab&amp;search_scope=EVERYTHING&amp;vid=01CRU&amp;lang=en_US&amp;offset=0&amp;query=any,contains,991002673279702656","Catalog Record")</f>
        <v/>
      </c>
      <c r="AV49">
        <f>HYPERLINK("http://www.worldcat.org/oclc/396103","WorldCat Record")</f>
        <v/>
      </c>
      <c r="AW49" t="inlineStr">
        <is>
          <t>1484914:eng</t>
        </is>
      </c>
      <c r="AX49" t="inlineStr">
        <is>
          <t>396103</t>
        </is>
      </c>
      <c r="AY49" t="inlineStr">
        <is>
          <t>991002673279702656</t>
        </is>
      </c>
      <c r="AZ49" t="inlineStr">
        <is>
          <t>991002673279702656</t>
        </is>
      </c>
      <c r="BA49" t="inlineStr">
        <is>
          <t>2261010760002656</t>
        </is>
      </c>
      <c r="BB49" t="inlineStr">
        <is>
          <t>BOOK</t>
        </is>
      </c>
      <c r="BE49" t="inlineStr">
        <is>
          <t>32285000331453</t>
        </is>
      </c>
      <c r="BF49" t="inlineStr">
        <is>
          <t>893899056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BL200 .S345</t>
        </is>
      </c>
      <c r="E50" t="inlineStr">
        <is>
          <t>0                      BL 0200000S  345</t>
        </is>
      </c>
      <c r="F50" t="inlineStr">
        <is>
          <t>Religion and scientific method / George Schlesinger. --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Schlesinger, G.</t>
        </is>
      </c>
      <c r="N50" t="inlineStr">
        <is>
          <t>Dordrecht, Holland ; Boston : D. Reidel Pub. Co., c1977.</t>
        </is>
      </c>
      <c r="O50" t="inlineStr">
        <is>
          <t>1977</t>
        </is>
      </c>
      <c r="Q50" t="inlineStr">
        <is>
          <t>eng</t>
        </is>
      </c>
      <c r="R50" t="inlineStr">
        <is>
          <t xml:space="preserve">ne </t>
        </is>
      </c>
      <c r="S50" t="inlineStr">
        <is>
          <t>Philosophical studies series in philosophy ; v. 10</t>
        </is>
      </c>
      <c r="T50" t="inlineStr">
        <is>
          <t xml:space="preserve">BL </t>
        </is>
      </c>
      <c r="U50" t="n">
        <v>7</v>
      </c>
      <c r="V50" t="n">
        <v>7</v>
      </c>
      <c r="W50" t="inlineStr">
        <is>
          <t>2007-10-06</t>
        </is>
      </c>
      <c r="X50" t="inlineStr">
        <is>
          <t>2007-10-06</t>
        </is>
      </c>
      <c r="Y50" t="inlineStr">
        <is>
          <t>1990-10-03</t>
        </is>
      </c>
      <c r="Z50" t="inlineStr">
        <is>
          <t>1990-10-03</t>
        </is>
      </c>
      <c r="AA50" t="n">
        <v>502</v>
      </c>
      <c r="AB50" t="n">
        <v>380</v>
      </c>
      <c r="AC50" t="n">
        <v>408</v>
      </c>
      <c r="AD50" t="n">
        <v>4</v>
      </c>
      <c r="AE50" t="n">
        <v>4</v>
      </c>
      <c r="AF50" t="n">
        <v>20</v>
      </c>
      <c r="AG50" t="n">
        <v>22</v>
      </c>
      <c r="AH50" t="n">
        <v>3</v>
      </c>
      <c r="AI50" t="n">
        <v>5</v>
      </c>
      <c r="AJ50" t="n">
        <v>6</v>
      </c>
      <c r="AK50" t="n">
        <v>7</v>
      </c>
      <c r="AL50" t="n">
        <v>14</v>
      </c>
      <c r="AM50" t="n">
        <v>15</v>
      </c>
      <c r="AN50" t="n">
        <v>2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HYPERLINK("http://catalog.hathitrust.org/Record/004479676","HathiTrust Record")</f>
        <v/>
      </c>
      <c r="AU50">
        <f>HYPERLINK("https://creighton-primo.hosted.exlibrisgroup.com/primo-explore/search?tab=default_tab&amp;search_scope=EVERYTHING&amp;vid=01CRU&amp;lang=en_US&amp;offset=0&amp;query=any,contains,991004361199702656","Catalog Record")</f>
        <v/>
      </c>
      <c r="AV50">
        <f>HYPERLINK("http://www.worldcat.org/oclc/3167467","WorldCat Record")</f>
        <v/>
      </c>
      <c r="AW50" t="inlineStr">
        <is>
          <t>111034925:eng</t>
        </is>
      </c>
      <c r="AX50" t="inlineStr">
        <is>
          <t>3167467</t>
        </is>
      </c>
      <c r="AY50" t="inlineStr">
        <is>
          <t>991004361199702656</t>
        </is>
      </c>
      <c r="AZ50" t="inlineStr">
        <is>
          <t>991004361199702656</t>
        </is>
      </c>
      <c r="BA50" t="inlineStr">
        <is>
          <t>2262237040002656</t>
        </is>
      </c>
      <c r="BB50" t="inlineStr">
        <is>
          <t>BOOK</t>
        </is>
      </c>
      <c r="BD50" t="inlineStr">
        <is>
          <t>9789027708151</t>
        </is>
      </c>
      <c r="BE50" t="inlineStr">
        <is>
          <t>32285000331487</t>
        </is>
      </c>
      <c r="BF50" t="inlineStr">
        <is>
          <t>893612253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BL200 .W38</t>
        </is>
      </c>
      <c r="E51" t="inlineStr">
        <is>
          <t>0                      BL 0200000W  38</t>
        </is>
      </c>
      <c r="F51" t="inlineStr">
        <is>
          <t>The infinite God and the Summa fratris Alexandri, by Meldon C. Wass.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Wass, Meldon Clarence, 1926-</t>
        </is>
      </c>
      <c r="N51" t="inlineStr">
        <is>
          <t>Chicago, Franciscan Herald Press [1964]</t>
        </is>
      </c>
      <c r="O51" t="inlineStr">
        <is>
          <t>1964</t>
        </is>
      </c>
      <c r="Q51" t="inlineStr">
        <is>
          <t>eng</t>
        </is>
      </c>
      <c r="R51" t="inlineStr">
        <is>
          <t>___</t>
        </is>
      </c>
      <c r="S51" t="inlineStr">
        <is>
          <t>Quincy College publications</t>
        </is>
      </c>
      <c r="T51" t="inlineStr">
        <is>
          <t xml:space="preserve">BL </t>
        </is>
      </c>
      <c r="U51" t="n">
        <v>4</v>
      </c>
      <c r="V51" t="n">
        <v>4</v>
      </c>
      <c r="W51" t="inlineStr">
        <is>
          <t>2001-07-31</t>
        </is>
      </c>
      <c r="X51" t="inlineStr">
        <is>
          <t>2001-07-31</t>
        </is>
      </c>
      <c r="Y51" t="inlineStr">
        <is>
          <t>1990-10-03</t>
        </is>
      </c>
      <c r="Z51" t="inlineStr">
        <is>
          <t>1990-10-03</t>
        </is>
      </c>
      <c r="AA51" t="n">
        <v>104</v>
      </c>
      <c r="AB51" t="n">
        <v>85</v>
      </c>
      <c r="AC51" t="n">
        <v>85</v>
      </c>
      <c r="AD51" t="n">
        <v>2</v>
      </c>
      <c r="AE51" t="n">
        <v>2</v>
      </c>
      <c r="AF51" t="n">
        <v>14</v>
      </c>
      <c r="AG51" t="n">
        <v>14</v>
      </c>
      <c r="AH51" t="n">
        <v>5</v>
      </c>
      <c r="AI51" t="n">
        <v>5</v>
      </c>
      <c r="AJ51" t="n">
        <v>2</v>
      </c>
      <c r="AK51" t="n">
        <v>2</v>
      </c>
      <c r="AL51" t="n">
        <v>12</v>
      </c>
      <c r="AM51" t="n">
        <v>12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HYPERLINK("https://creighton-primo.hosted.exlibrisgroup.com/primo-explore/search?tab=default_tab&amp;search_scope=EVERYTHING&amp;vid=01CRU&amp;lang=en_US&amp;offset=0&amp;query=any,contains,991003475969702656","Catalog Record")</f>
        <v/>
      </c>
      <c r="AV51">
        <f>HYPERLINK("http://www.worldcat.org/oclc/1020577","WorldCat Record")</f>
        <v/>
      </c>
      <c r="AW51" t="inlineStr">
        <is>
          <t>367447202:eng</t>
        </is>
      </c>
      <c r="AX51" t="inlineStr">
        <is>
          <t>1020577</t>
        </is>
      </c>
      <c r="AY51" t="inlineStr">
        <is>
          <t>991003475969702656</t>
        </is>
      </c>
      <c r="AZ51" t="inlineStr">
        <is>
          <t>991003475969702656</t>
        </is>
      </c>
      <c r="BA51" t="inlineStr">
        <is>
          <t>2267285890002656</t>
        </is>
      </c>
      <c r="BB51" t="inlineStr">
        <is>
          <t>BOOK</t>
        </is>
      </c>
      <c r="BE51" t="inlineStr">
        <is>
          <t>32285000331545</t>
        </is>
      </c>
      <c r="BF51" t="inlineStr">
        <is>
          <t>893258454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BL200.B76 G62</t>
        </is>
      </c>
      <c r="E52" t="inlineStr">
        <is>
          <t>0                      BL 0200000B  76                 G  62</t>
        </is>
      </c>
      <c r="F52" t="inlineStr">
        <is>
          <t>God infinite and reason, concerning the attributes of God, by William J. Brosnan.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Brosnan, William Joseph, 1864-</t>
        </is>
      </c>
      <c r="N52" t="inlineStr">
        <is>
          <t>New York, The American press, 1928.</t>
        </is>
      </c>
      <c r="O52" t="inlineStr">
        <is>
          <t>1928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BL </t>
        </is>
      </c>
      <c r="U52" t="n">
        <v>2</v>
      </c>
      <c r="V52" t="n">
        <v>2</v>
      </c>
      <c r="W52" t="inlineStr">
        <is>
          <t>1996-04-09</t>
        </is>
      </c>
      <c r="X52" t="inlineStr">
        <is>
          <t>1996-04-09</t>
        </is>
      </c>
      <c r="Y52" t="inlineStr">
        <is>
          <t>1990-10-03</t>
        </is>
      </c>
      <c r="Z52" t="inlineStr">
        <is>
          <t>1990-10-03</t>
        </is>
      </c>
      <c r="AA52" t="n">
        <v>75</v>
      </c>
      <c r="AB52" t="n">
        <v>58</v>
      </c>
      <c r="AC52" t="n">
        <v>60</v>
      </c>
      <c r="AD52" t="n">
        <v>2</v>
      </c>
      <c r="AE52" t="n">
        <v>2</v>
      </c>
      <c r="AF52" t="n">
        <v>18</v>
      </c>
      <c r="AG52" t="n">
        <v>18</v>
      </c>
      <c r="AH52" t="n">
        <v>4</v>
      </c>
      <c r="AI52" t="n">
        <v>4</v>
      </c>
      <c r="AJ52" t="n">
        <v>3</v>
      </c>
      <c r="AK52" t="n">
        <v>3</v>
      </c>
      <c r="AL52" t="n">
        <v>17</v>
      </c>
      <c r="AM52" t="n">
        <v>17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HYPERLINK("https://creighton-primo.hosted.exlibrisgroup.com/primo-explore/search?tab=default_tab&amp;search_scope=EVERYTHING&amp;vid=01CRU&amp;lang=en_US&amp;offset=0&amp;query=any,contains,991004554509702656","Catalog Record")</f>
        <v/>
      </c>
      <c r="AV52">
        <f>HYPERLINK("http://www.worldcat.org/oclc/3962024","WorldCat Record")</f>
        <v/>
      </c>
      <c r="AW52" t="inlineStr">
        <is>
          <t>13177727:eng</t>
        </is>
      </c>
      <c r="AX52" t="inlineStr">
        <is>
          <t>3962024</t>
        </is>
      </c>
      <c r="AY52" t="inlineStr">
        <is>
          <t>991004554509702656</t>
        </is>
      </c>
      <c r="AZ52" t="inlineStr">
        <is>
          <t>991004554509702656</t>
        </is>
      </c>
      <c r="BA52" t="inlineStr">
        <is>
          <t>2262807370002656</t>
        </is>
      </c>
      <c r="BB52" t="inlineStr">
        <is>
          <t>BOOK</t>
        </is>
      </c>
      <c r="BE52" t="inlineStr">
        <is>
          <t>32285000331255</t>
        </is>
      </c>
      <c r="BF52" t="inlineStr">
        <is>
          <t>893888869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BL200.N69 U5</t>
        </is>
      </c>
      <c r="E53" t="inlineStr">
        <is>
          <t>0                      BL 0200000N  69                 U  5</t>
        </is>
      </c>
      <c r="F53" t="inlineStr">
        <is>
          <t>The unknown God, by Alfred Noyes.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Noyes, Alfred, 1880-1958.</t>
        </is>
      </c>
      <c r="N53" t="inlineStr">
        <is>
          <t>New York, Sheed and Ward, 1934.</t>
        </is>
      </c>
      <c r="O53" t="inlineStr">
        <is>
          <t>1934</t>
        </is>
      </c>
      <c r="Q53" t="inlineStr">
        <is>
          <t>eng</t>
        </is>
      </c>
      <c r="R53" t="inlineStr">
        <is>
          <t>___</t>
        </is>
      </c>
      <c r="T53" t="inlineStr">
        <is>
          <t xml:space="preserve">BL </t>
        </is>
      </c>
      <c r="U53" t="n">
        <v>3</v>
      </c>
      <c r="V53" t="n">
        <v>3</v>
      </c>
      <c r="W53" t="inlineStr">
        <is>
          <t>1996-11-19</t>
        </is>
      </c>
      <c r="X53" t="inlineStr">
        <is>
          <t>1996-11-19</t>
        </is>
      </c>
      <c r="Y53" t="inlineStr">
        <is>
          <t>1990-10-03</t>
        </is>
      </c>
      <c r="Z53" t="inlineStr">
        <is>
          <t>1990-10-03</t>
        </is>
      </c>
      <c r="AA53" t="n">
        <v>242</v>
      </c>
      <c r="AB53" t="n">
        <v>215</v>
      </c>
      <c r="AC53" t="n">
        <v>359</v>
      </c>
      <c r="AD53" t="n">
        <v>2</v>
      </c>
      <c r="AE53" t="n">
        <v>4</v>
      </c>
      <c r="AF53" t="n">
        <v>19</v>
      </c>
      <c r="AG53" t="n">
        <v>35</v>
      </c>
      <c r="AH53" t="n">
        <v>5</v>
      </c>
      <c r="AI53" t="n">
        <v>11</v>
      </c>
      <c r="AJ53" t="n">
        <v>5</v>
      </c>
      <c r="AK53" t="n">
        <v>8</v>
      </c>
      <c r="AL53" t="n">
        <v>15</v>
      </c>
      <c r="AM53" t="n">
        <v>25</v>
      </c>
      <c r="AN53" t="n">
        <v>0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HYPERLINK("http://catalog.hathitrust.org/Record/001411886","HathiTrust Record")</f>
        <v/>
      </c>
      <c r="AU53">
        <f>HYPERLINK("https://creighton-primo.hosted.exlibrisgroup.com/primo-explore/search?tab=default_tab&amp;search_scope=EVERYTHING&amp;vid=01CRU&amp;lang=en_US&amp;offset=0&amp;query=any,contains,991003029889702656","Catalog Record")</f>
        <v/>
      </c>
      <c r="AV53">
        <f>HYPERLINK("http://www.worldcat.org/oclc/593160","WorldCat Record")</f>
        <v/>
      </c>
      <c r="AW53" t="inlineStr">
        <is>
          <t>1511420:eng</t>
        </is>
      </c>
      <c r="AX53" t="inlineStr">
        <is>
          <t>593160</t>
        </is>
      </c>
      <c r="AY53" t="inlineStr">
        <is>
          <t>991003029889702656</t>
        </is>
      </c>
      <c r="AZ53" t="inlineStr">
        <is>
          <t>991003029889702656</t>
        </is>
      </c>
      <c r="BA53" t="inlineStr">
        <is>
          <t>2264705340002656</t>
        </is>
      </c>
      <c r="BB53" t="inlineStr">
        <is>
          <t>BOOK</t>
        </is>
      </c>
      <c r="BE53" t="inlineStr">
        <is>
          <t>32285000331420</t>
        </is>
      </c>
      <c r="BF53" t="inlineStr">
        <is>
          <t>893698600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BL2001.2 .O36</t>
        </is>
      </c>
      <c r="E54" t="inlineStr">
        <is>
          <t>0                      BL 2001200O  36</t>
        </is>
      </c>
      <c r="F54" t="inlineStr">
        <is>
          <t>Women, androgynes, and other mythical beasts / Wendy Doniger O'Flaherty.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Doniger, Wendy.</t>
        </is>
      </c>
      <c r="N54" t="inlineStr">
        <is>
          <t>Chicago : University of Chicago Press, c1980.</t>
        </is>
      </c>
      <c r="O54" t="inlineStr">
        <is>
          <t>1980</t>
        </is>
      </c>
      <c r="Q54" t="inlineStr">
        <is>
          <t>eng</t>
        </is>
      </c>
      <c r="R54" t="inlineStr">
        <is>
          <t>ilu</t>
        </is>
      </c>
      <c r="T54" t="inlineStr">
        <is>
          <t xml:space="preserve">BL </t>
        </is>
      </c>
      <c r="U54" t="n">
        <v>7</v>
      </c>
      <c r="V54" t="n">
        <v>7</v>
      </c>
      <c r="W54" t="inlineStr">
        <is>
          <t>2001-04-05</t>
        </is>
      </c>
      <c r="X54" t="inlineStr">
        <is>
          <t>2001-04-05</t>
        </is>
      </c>
      <c r="Y54" t="inlineStr">
        <is>
          <t>1990-10-18</t>
        </is>
      </c>
      <c r="Z54" t="inlineStr">
        <is>
          <t>1990-10-18</t>
        </is>
      </c>
      <c r="AA54" t="n">
        <v>644</v>
      </c>
      <c r="AB54" t="n">
        <v>512</v>
      </c>
      <c r="AC54" t="n">
        <v>616</v>
      </c>
      <c r="AD54" t="n">
        <v>4</v>
      </c>
      <c r="AE54" t="n">
        <v>4</v>
      </c>
      <c r="AF54" t="n">
        <v>23</v>
      </c>
      <c r="AG54" t="n">
        <v>31</v>
      </c>
      <c r="AH54" t="n">
        <v>5</v>
      </c>
      <c r="AI54" t="n">
        <v>11</v>
      </c>
      <c r="AJ54" t="n">
        <v>9</v>
      </c>
      <c r="AK54" t="n">
        <v>10</v>
      </c>
      <c r="AL54" t="n">
        <v>14</v>
      </c>
      <c r="AM54" t="n">
        <v>17</v>
      </c>
      <c r="AN54" t="n">
        <v>3</v>
      </c>
      <c r="AO54" t="n">
        <v>3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HYPERLINK("https://creighton-primo.hosted.exlibrisgroup.com/primo-explore/search?tab=default_tab&amp;search_scope=EVERYTHING&amp;vid=01CRU&amp;lang=en_US&amp;offset=0&amp;query=any,contains,991004783459702656","Catalog Record")</f>
        <v/>
      </c>
      <c r="AV54">
        <f>HYPERLINK("http://www.worldcat.org/oclc/5126272","WorldCat Record")</f>
        <v/>
      </c>
      <c r="AW54" t="inlineStr">
        <is>
          <t>418986:eng</t>
        </is>
      </c>
      <c r="AX54" t="inlineStr">
        <is>
          <t>5126272</t>
        </is>
      </c>
      <c r="AY54" t="inlineStr">
        <is>
          <t>991004783459702656</t>
        </is>
      </c>
      <c r="AZ54" t="inlineStr">
        <is>
          <t>991004783459702656</t>
        </is>
      </c>
      <c r="BA54" t="inlineStr">
        <is>
          <t>2267898990002656</t>
        </is>
      </c>
      <c r="BB54" t="inlineStr">
        <is>
          <t>BOOK</t>
        </is>
      </c>
      <c r="BD54" t="inlineStr">
        <is>
          <t>9780226618494</t>
        </is>
      </c>
      <c r="BE54" t="inlineStr">
        <is>
          <t>32285000350610</t>
        </is>
      </c>
      <c r="BF54" t="inlineStr">
        <is>
          <t>893870112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BL2003 .C8 1968</t>
        </is>
      </c>
      <c r="E55" t="inlineStr">
        <is>
          <t>0                      BL 2003000C  8           1968</t>
        </is>
      </c>
      <c r="F55" t="inlineStr">
        <is>
          <t>The popular religion and folk-lore of northern India.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Crooke, William, 1848-1923.</t>
        </is>
      </c>
      <c r="N55" t="inlineStr">
        <is>
          <t>Delhi, Munshiram Manoharlal [1968]</t>
        </is>
      </c>
      <c r="O55" t="inlineStr">
        <is>
          <t>1968</t>
        </is>
      </c>
      <c r="P55" t="inlineStr">
        <is>
          <t>A new [2d] ed., rev. and illustrated.</t>
        </is>
      </c>
      <c r="Q55" t="inlineStr">
        <is>
          <t>eng</t>
        </is>
      </c>
      <c r="R55" t="inlineStr">
        <is>
          <t xml:space="preserve">ii </t>
        </is>
      </c>
      <c r="T55" t="inlineStr">
        <is>
          <t xml:space="preserve">BL </t>
        </is>
      </c>
      <c r="U55" t="n">
        <v>2</v>
      </c>
      <c r="V55" t="n">
        <v>2</v>
      </c>
      <c r="W55" t="inlineStr">
        <is>
          <t>1995-10-02</t>
        </is>
      </c>
      <c r="X55" t="inlineStr">
        <is>
          <t>1995-10-02</t>
        </is>
      </c>
      <c r="Y55" t="inlineStr">
        <is>
          <t>1990-02-28</t>
        </is>
      </c>
      <c r="Z55" t="inlineStr">
        <is>
          <t>1990-02-28</t>
        </is>
      </c>
      <c r="AA55" t="n">
        <v>308</v>
      </c>
      <c r="AB55" t="n">
        <v>285</v>
      </c>
      <c r="AC55" t="n">
        <v>322</v>
      </c>
      <c r="AD55" t="n">
        <v>3</v>
      </c>
      <c r="AE55" t="n">
        <v>3</v>
      </c>
      <c r="AF55" t="n">
        <v>13</v>
      </c>
      <c r="AG55" t="n">
        <v>15</v>
      </c>
      <c r="AH55" t="n">
        <v>1</v>
      </c>
      <c r="AI55" t="n">
        <v>2</v>
      </c>
      <c r="AJ55" t="n">
        <v>4</v>
      </c>
      <c r="AK55" t="n">
        <v>6</v>
      </c>
      <c r="AL55" t="n">
        <v>9</v>
      </c>
      <c r="AM55" t="n">
        <v>9</v>
      </c>
      <c r="AN55" t="n">
        <v>2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HYPERLINK("https://creighton-primo.hosted.exlibrisgroup.com/primo-explore/search?tab=default_tab&amp;search_scope=EVERYTHING&amp;vid=01CRU&amp;lang=en_US&amp;offset=0&amp;query=any,contains,991002610309702656","Catalog Record")</f>
        <v/>
      </c>
      <c r="AV55">
        <f>HYPERLINK("http://www.worldcat.org/oclc/377644","WorldCat Record")</f>
        <v/>
      </c>
      <c r="AW55" t="inlineStr">
        <is>
          <t>1474116:eng</t>
        </is>
      </c>
      <c r="AX55" t="inlineStr">
        <is>
          <t>377644</t>
        </is>
      </c>
      <c r="AY55" t="inlineStr">
        <is>
          <t>991002610309702656</t>
        </is>
      </c>
      <c r="AZ55" t="inlineStr">
        <is>
          <t>991002610309702656</t>
        </is>
      </c>
      <c r="BA55" t="inlineStr">
        <is>
          <t>2260835540002656</t>
        </is>
      </c>
      <c r="BB55" t="inlineStr">
        <is>
          <t>BOOK</t>
        </is>
      </c>
      <c r="BE55" t="inlineStr">
        <is>
          <t>32285000070135</t>
        </is>
      </c>
      <c r="BF55" t="inlineStr">
        <is>
          <t>893347698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BL2003 .I6</t>
        </is>
      </c>
      <c r="E56" t="inlineStr">
        <is>
          <t>0                      BL 2003000I  6</t>
        </is>
      </c>
      <c r="F56" t="inlineStr">
        <is>
          <t>Indian mythology / Veronica Ions.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Ions, Veronica.</t>
        </is>
      </c>
      <c r="N56" t="inlineStr">
        <is>
          <t>London, Hamlyn [1967]</t>
        </is>
      </c>
      <c r="O56" t="inlineStr">
        <is>
          <t>1967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BL </t>
        </is>
      </c>
      <c r="U56" t="n">
        <v>3</v>
      </c>
      <c r="V56" t="n">
        <v>3</v>
      </c>
      <c r="W56" t="inlineStr">
        <is>
          <t>1999-04-24</t>
        </is>
      </c>
      <c r="X56" t="inlineStr">
        <is>
          <t>1999-04-24</t>
        </is>
      </c>
      <c r="Y56" t="inlineStr">
        <is>
          <t>1990-10-18</t>
        </is>
      </c>
      <c r="Z56" t="inlineStr">
        <is>
          <t>1990-10-18</t>
        </is>
      </c>
      <c r="AA56" t="n">
        <v>1321</v>
      </c>
      <c r="AB56" t="n">
        <v>1170</v>
      </c>
      <c r="AC56" t="n">
        <v>1958</v>
      </c>
      <c r="AD56" t="n">
        <v>11</v>
      </c>
      <c r="AE56" t="n">
        <v>17</v>
      </c>
      <c r="AF56" t="n">
        <v>29</v>
      </c>
      <c r="AG56" t="n">
        <v>42</v>
      </c>
      <c r="AH56" t="n">
        <v>11</v>
      </c>
      <c r="AI56" t="n">
        <v>15</v>
      </c>
      <c r="AJ56" t="n">
        <v>5</v>
      </c>
      <c r="AK56" t="n">
        <v>8</v>
      </c>
      <c r="AL56" t="n">
        <v>18</v>
      </c>
      <c r="AM56" t="n">
        <v>22</v>
      </c>
      <c r="AN56" t="n">
        <v>5</v>
      </c>
      <c r="AO56" t="n">
        <v>7</v>
      </c>
      <c r="AP56" t="n">
        <v>0</v>
      </c>
      <c r="AQ56" t="n">
        <v>2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HYPERLINK("http://catalog.hathitrust.org/Record/001394674","HathiTrust Record")</f>
        <v/>
      </c>
      <c r="AU56">
        <f>HYPERLINK("https://creighton-primo.hosted.exlibrisgroup.com/primo-explore/search?tab=default_tab&amp;search_scope=EVERYTHING&amp;vid=01CRU&amp;lang=en_US&amp;offset=0&amp;query=any,contains,991002651819702656","Catalog Record")</f>
        <v/>
      </c>
      <c r="AV56">
        <f>HYPERLINK("http://www.worldcat.org/oclc/387304","WorldCat Record")</f>
        <v/>
      </c>
      <c r="AW56" t="inlineStr">
        <is>
          <t>162053:eng</t>
        </is>
      </c>
      <c r="AX56" t="inlineStr">
        <is>
          <t>387304</t>
        </is>
      </c>
      <c r="AY56" t="inlineStr">
        <is>
          <t>991002651819702656</t>
        </is>
      </c>
      <c r="AZ56" t="inlineStr">
        <is>
          <t>991002651819702656</t>
        </is>
      </c>
      <c r="BA56" t="inlineStr">
        <is>
          <t>2258172270002656</t>
        </is>
      </c>
      <c r="BB56" t="inlineStr">
        <is>
          <t>BOOK</t>
        </is>
      </c>
      <c r="BE56" t="inlineStr">
        <is>
          <t>32285000350669</t>
        </is>
      </c>
      <c r="BF56" t="inlineStr">
        <is>
          <t>893685613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BL2003 .Z5</t>
        </is>
      </c>
      <c r="E57" t="inlineStr">
        <is>
          <t>0                      BL 2003000Z  5</t>
        </is>
      </c>
      <c r="F57" t="inlineStr">
        <is>
          <t>Myths and symbols in Indian art and civilization / edited by Joseph Campbell.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Zimmer, Heinrich Robert, 1890-1943.</t>
        </is>
      </c>
      <c r="N57" t="inlineStr">
        <is>
          <t>[New York] Pantheon Books [1946]</t>
        </is>
      </c>
      <c r="O57" t="inlineStr">
        <is>
          <t>1946</t>
        </is>
      </c>
      <c r="Q57" t="inlineStr">
        <is>
          <t>eng</t>
        </is>
      </c>
      <c r="R57" t="inlineStr">
        <is>
          <t>nyu</t>
        </is>
      </c>
      <c r="S57" t="inlineStr">
        <is>
          <t>The Bollingen series, VI</t>
        </is>
      </c>
      <c r="T57" t="inlineStr">
        <is>
          <t xml:space="preserve">BL </t>
        </is>
      </c>
      <c r="U57" t="n">
        <v>12</v>
      </c>
      <c r="V57" t="n">
        <v>12</v>
      </c>
      <c r="W57" t="inlineStr">
        <is>
          <t>2002-09-11</t>
        </is>
      </c>
      <c r="X57" t="inlineStr">
        <is>
          <t>2002-09-11</t>
        </is>
      </c>
      <c r="Y57" t="inlineStr">
        <is>
          <t>1990-10-18</t>
        </is>
      </c>
      <c r="Z57" t="inlineStr">
        <is>
          <t>1990-10-18</t>
        </is>
      </c>
      <c r="AA57" t="n">
        <v>955</v>
      </c>
      <c r="AB57" t="n">
        <v>859</v>
      </c>
      <c r="AC57" t="n">
        <v>1574</v>
      </c>
      <c r="AD57" t="n">
        <v>5</v>
      </c>
      <c r="AE57" t="n">
        <v>5</v>
      </c>
      <c r="AF57" t="n">
        <v>30</v>
      </c>
      <c r="AG57" t="n">
        <v>53</v>
      </c>
      <c r="AH57" t="n">
        <v>12</v>
      </c>
      <c r="AI57" t="n">
        <v>27</v>
      </c>
      <c r="AJ57" t="n">
        <v>6</v>
      </c>
      <c r="AK57" t="n">
        <v>10</v>
      </c>
      <c r="AL57" t="n">
        <v>15</v>
      </c>
      <c r="AM57" t="n">
        <v>27</v>
      </c>
      <c r="AN57" t="n">
        <v>3</v>
      </c>
      <c r="AO57" t="n">
        <v>3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HYPERLINK("http://catalog.hathitrust.org/Record/001394685","HathiTrust Record")</f>
        <v/>
      </c>
      <c r="AU57">
        <f>HYPERLINK("https://creighton-primo.hosted.exlibrisgroup.com/primo-explore/search?tab=default_tab&amp;search_scope=EVERYTHING&amp;vid=01CRU&amp;lang=en_US&amp;offset=0&amp;query=any,contains,991002611019702656","Catalog Record")</f>
        <v/>
      </c>
      <c r="AV57">
        <f>HYPERLINK("http://www.worldcat.org/oclc/377871","WorldCat Record")</f>
        <v/>
      </c>
      <c r="AW57" t="inlineStr">
        <is>
          <t>577601:eng</t>
        </is>
      </c>
      <c r="AX57" t="inlineStr">
        <is>
          <t>377871</t>
        </is>
      </c>
      <c r="AY57" t="inlineStr">
        <is>
          <t>991002611019702656</t>
        </is>
      </c>
      <c r="AZ57" t="inlineStr">
        <is>
          <t>991002611019702656</t>
        </is>
      </c>
      <c r="BA57" t="inlineStr">
        <is>
          <t>2263088880002656</t>
        </is>
      </c>
      <c r="BB57" t="inlineStr">
        <is>
          <t>BOOK</t>
        </is>
      </c>
      <c r="BE57" t="inlineStr">
        <is>
          <t>32285000350685</t>
        </is>
      </c>
      <c r="BF57" t="inlineStr">
        <is>
          <t>893616327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BL21 .M63 1987</t>
        </is>
      </c>
      <c r="E58" t="inlineStr">
        <is>
          <t>0                      BL 0021000M  63          1987</t>
        </is>
      </c>
      <c r="F58" t="inlineStr">
        <is>
          <t>Modernity and religion / edited by William Nicholls.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Waterloo, Ont : Published for the Canadian Corporation for Studies in Religion/Corporation canadienne des sciences religeuses by Wilfrid Laurier University Press, 1987.</t>
        </is>
      </c>
      <c r="O58" t="inlineStr">
        <is>
          <t>1987</t>
        </is>
      </c>
      <c r="Q58" t="inlineStr">
        <is>
          <t>eng</t>
        </is>
      </c>
      <c r="R58" t="inlineStr">
        <is>
          <t>onc</t>
        </is>
      </c>
      <c r="S58" t="inlineStr">
        <is>
          <t>SR supplements ; 19</t>
        </is>
      </c>
      <c r="T58" t="inlineStr">
        <is>
          <t xml:space="preserve">BL </t>
        </is>
      </c>
      <c r="U58" t="n">
        <v>2</v>
      </c>
      <c r="V58" t="n">
        <v>2</v>
      </c>
      <c r="W58" t="inlineStr">
        <is>
          <t>1994-03-02</t>
        </is>
      </c>
      <c r="X58" t="inlineStr">
        <is>
          <t>1994-03-02</t>
        </is>
      </c>
      <c r="Y58" t="inlineStr">
        <is>
          <t>1990-09-21</t>
        </is>
      </c>
      <c r="Z58" t="inlineStr">
        <is>
          <t>1990-09-21</t>
        </is>
      </c>
      <c r="AA58" t="n">
        <v>194</v>
      </c>
      <c r="AB58" t="n">
        <v>134</v>
      </c>
      <c r="AC58" t="n">
        <v>842</v>
      </c>
      <c r="AD58" t="n">
        <v>2</v>
      </c>
      <c r="AE58" t="n">
        <v>12</v>
      </c>
      <c r="AF58" t="n">
        <v>9</v>
      </c>
      <c r="AG58" t="n">
        <v>43</v>
      </c>
      <c r="AH58" t="n">
        <v>3</v>
      </c>
      <c r="AI58" t="n">
        <v>14</v>
      </c>
      <c r="AJ58" t="n">
        <v>3</v>
      </c>
      <c r="AK58" t="n">
        <v>11</v>
      </c>
      <c r="AL58" t="n">
        <v>5</v>
      </c>
      <c r="AM58" t="n">
        <v>14</v>
      </c>
      <c r="AN58" t="n">
        <v>1</v>
      </c>
      <c r="AO58" t="n">
        <v>10</v>
      </c>
      <c r="AP58" t="n">
        <v>0</v>
      </c>
      <c r="AQ58" t="n">
        <v>2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HYPERLINK("http://catalog.hathitrust.org/Record/000912877","HathiTrust Record")</f>
        <v/>
      </c>
      <c r="AU58">
        <f>HYPERLINK("https://creighton-primo.hosted.exlibrisgroup.com/primo-explore/search?tab=default_tab&amp;search_scope=EVERYTHING&amp;vid=01CRU&amp;lang=en_US&amp;offset=0&amp;query=any,contains,991001238509702656","Catalog Record")</f>
        <v/>
      </c>
      <c r="AV58">
        <f>HYPERLINK("http://www.worldcat.org/oclc/17584290","WorldCat Record")</f>
        <v/>
      </c>
      <c r="AW58" t="inlineStr">
        <is>
          <t>431329395:eng</t>
        </is>
      </c>
      <c r="AX58" t="inlineStr">
        <is>
          <t>17584290</t>
        </is>
      </c>
      <c r="AY58" t="inlineStr">
        <is>
          <t>991001238509702656</t>
        </is>
      </c>
      <c r="AZ58" t="inlineStr">
        <is>
          <t>991001238509702656</t>
        </is>
      </c>
      <c r="BA58" t="inlineStr">
        <is>
          <t>2261128710002656</t>
        </is>
      </c>
      <c r="BB58" t="inlineStr">
        <is>
          <t>BOOK</t>
        </is>
      </c>
      <c r="BD58" t="inlineStr">
        <is>
          <t>9780889201545</t>
        </is>
      </c>
      <c r="BE58" t="inlineStr">
        <is>
          <t>32285000307248</t>
        </is>
      </c>
      <c r="BF58" t="inlineStr">
        <is>
          <t>893516022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BL21 .R45</t>
        </is>
      </c>
      <c r="E59" t="inlineStr">
        <is>
          <t>0                      BL 0021000R  45</t>
        </is>
      </c>
      <c r="F59" t="inlineStr">
        <is>
          <t>Religious syncretism in antiquity : essays in conversation with Geo Widengren / edited by Birger A. Pearson.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Missoula, Mont. : Published by Scholars Press for the American Academy of Religion and the Institute of Religious Studies, University of California, Santa Barbara, c1975.</t>
        </is>
      </c>
      <c r="O59" t="inlineStr">
        <is>
          <t>1975</t>
        </is>
      </c>
      <c r="Q59" t="inlineStr">
        <is>
          <t>eng</t>
        </is>
      </c>
      <c r="R59" t="inlineStr">
        <is>
          <t>mtu</t>
        </is>
      </c>
      <c r="S59" t="inlineStr">
        <is>
          <t>Series on formative contemporary thinkers ; no. 1</t>
        </is>
      </c>
      <c r="T59" t="inlineStr">
        <is>
          <t xml:space="preserve">BL </t>
        </is>
      </c>
      <c r="U59" t="n">
        <v>2</v>
      </c>
      <c r="V59" t="n">
        <v>2</v>
      </c>
      <c r="W59" t="inlineStr">
        <is>
          <t>1996-10-08</t>
        </is>
      </c>
      <c r="X59" t="inlineStr">
        <is>
          <t>1996-10-08</t>
        </is>
      </c>
      <c r="Y59" t="inlineStr">
        <is>
          <t>1990-09-21</t>
        </is>
      </c>
      <c r="Z59" t="inlineStr">
        <is>
          <t>1990-09-21</t>
        </is>
      </c>
      <c r="AA59" t="n">
        <v>222</v>
      </c>
      <c r="AB59" t="n">
        <v>171</v>
      </c>
      <c r="AC59" t="n">
        <v>172</v>
      </c>
      <c r="AD59" t="n">
        <v>2</v>
      </c>
      <c r="AE59" t="n">
        <v>2</v>
      </c>
      <c r="AF59" t="n">
        <v>8</v>
      </c>
      <c r="AG59" t="n">
        <v>8</v>
      </c>
      <c r="AH59" t="n">
        <v>1</v>
      </c>
      <c r="AI59" t="n">
        <v>1</v>
      </c>
      <c r="AJ59" t="n">
        <v>4</v>
      </c>
      <c r="AK59" t="n">
        <v>4</v>
      </c>
      <c r="AL59" t="n">
        <v>5</v>
      </c>
      <c r="AM59" t="n">
        <v>5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HYPERLINK("http://catalog.hathitrust.org/Record/102064865","HathiTrust Record")</f>
        <v/>
      </c>
      <c r="AU59">
        <f>HYPERLINK("https://creighton-primo.hosted.exlibrisgroup.com/primo-explore/search?tab=default_tab&amp;search_scope=EVERYTHING&amp;vid=01CRU&amp;lang=en_US&amp;offset=0&amp;query=any,contains,991003871749702656","Catalog Record")</f>
        <v/>
      </c>
      <c r="AV59">
        <f>HYPERLINK("http://www.worldcat.org/oclc/1693981","WorldCat Record")</f>
        <v/>
      </c>
      <c r="AW59" t="inlineStr">
        <is>
          <t>891010683:eng</t>
        </is>
      </c>
      <c r="AX59" t="inlineStr">
        <is>
          <t>1693981</t>
        </is>
      </c>
      <c r="AY59" t="inlineStr">
        <is>
          <t>991003871749702656</t>
        </is>
      </c>
      <c r="AZ59" t="inlineStr">
        <is>
          <t>991003871749702656</t>
        </is>
      </c>
      <c r="BA59" t="inlineStr">
        <is>
          <t>2255506370002656</t>
        </is>
      </c>
      <c r="BB59" t="inlineStr">
        <is>
          <t>BOOK</t>
        </is>
      </c>
      <c r="BD59" t="inlineStr">
        <is>
          <t>9780891300373</t>
        </is>
      </c>
      <c r="BE59" t="inlineStr">
        <is>
          <t>32285000307263</t>
        </is>
      </c>
      <c r="BF59" t="inlineStr">
        <is>
          <t>893611569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BL21 .S63</t>
        </is>
      </c>
      <c r="E60" t="inlineStr">
        <is>
          <t>0                      BL 0021000S  63</t>
        </is>
      </c>
      <c r="F60" t="inlineStr">
        <is>
          <t>The Social impact of new religious movements / Bryan Wilson, editor ; [contributors, David Martin ... et al.].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Barrytown, N.Y. : Unification Theological Seminary ; New York, N.Y. : Distributed by Rose of Sharon Press, c1981.</t>
        </is>
      </c>
      <c r="O60" t="inlineStr">
        <is>
          <t>1981</t>
        </is>
      </c>
      <c r="P60" t="inlineStr">
        <is>
          <t>1st ed.</t>
        </is>
      </c>
      <c r="Q60" t="inlineStr">
        <is>
          <t>eng</t>
        </is>
      </c>
      <c r="R60" t="inlineStr">
        <is>
          <t>nyu</t>
        </is>
      </c>
      <c r="S60" t="inlineStr">
        <is>
          <t>Conference series (Unification Theological Seminary) ; no. 9</t>
        </is>
      </c>
      <c r="T60" t="inlineStr">
        <is>
          <t xml:space="preserve">BL </t>
        </is>
      </c>
      <c r="U60" t="n">
        <v>7</v>
      </c>
      <c r="V60" t="n">
        <v>7</v>
      </c>
      <c r="W60" t="inlineStr">
        <is>
          <t>1994-04-18</t>
        </is>
      </c>
      <c r="X60" t="inlineStr">
        <is>
          <t>1994-04-18</t>
        </is>
      </c>
      <c r="Y60" t="inlineStr">
        <is>
          <t>1990-09-21</t>
        </is>
      </c>
      <c r="Z60" t="inlineStr">
        <is>
          <t>1990-09-21</t>
        </is>
      </c>
      <c r="AA60" t="n">
        <v>309</v>
      </c>
      <c r="AB60" t="n">
        <v>234</v>
      </c>
      <c r="AC60" t="n">
        <v>240</v>
      </c>
      <c r="AD60" t="n">
        <v>2</v>
      </c>
      <c r="AE60" t="n">
        <v>2</v>
      </c>
      <c r="AF60" t="n">
        <v>13</v>
      </c>
      <c r="AG60" t="n">
        <v>13</v>
      </c>
      <c r="AH60" t="n">
        <v>3</v>
      </c>
      <c r="AI60" t="n">
        <v>3</v>
      </c>
      <c r="AJ60" t="n">
        <v>5</v>
      </c>
      <c r="AK60" t="n">
        <v>5</v>
      </c>
      <c r="AL60" t="n">
        <v>9</v>
      </c>
      <c r="AM60" t="n">
        <v>9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HYPERLINK("http://catalog.hathitrust.org/Record/006020969","HathiTrust Record")</f>
        <v/>
      </c>
      <c r="AU60">
        <f>HYPERLINK("https://creighton-primo.hosted.exlibrisgroup.com/primo-explore/search?tab=default_tab&amp;search_scope=EVERYTHING&amp;vid=01CRU&amp;lang=en_US&amp;offset=0&amp;query=any,contains,991005145879702656","Catalog Record")</f>
        <v/>
      </c>
      <c r="AV60">
        <f>HYPERLINK("http://www.worldcat.org/oclc/7669119","WorldCat Record")</f>
        <v/>
      </c>
      <c r="AW60" t="inlineStr">
        <is>
          <t>427355726:eng</t>
        </is>
      </c>
      <c r="AX60" t="inlineStr">
        <is>
          <t>7669119</t>
        </is>
      </c>
      <c r="AY60" t="inlineStr">
        <is>
          <t>991005145879702656</t>
        </is>
      </c>
      <c r="AZ60" t="inlineStr">
        <is>
          <t>991005145879702656</t>
        </is>
      </c>
      <c r="BA60" t="inlineStr">
        <is>
          <t>2261131640002656</t>
        </is>
      </c>
      <c r="BB60" t="inlineStr">
        <is>
          <t>BOOK</t>
        </is>
      </c>
      <c r="BD60" t="inlineStr">
        <is>
          <t>9780932894090</t>
        </is>
      </c>
      <c r="BE60" t="inlineStr">
        <is>
          <t>32285000307271</t>
        </is>
      </c>
      <c r="BF60" t="inlineStr">
        <is>
          <t>893606905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BL210 .M6 1963</t>
        </is>
      </c>
      <c r="E61" t="inlineStr">
        <is>
          <t>0                      BL 0210000M  6           1963</t>
        </is>
      </c>
      <c r="F61" t="inlineStr">
        <is>
          <t>The principle of analogy in Protestant and Catholic theology.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Mondin, Battista.</t>
        </is>
      </c>
      <c r="N61" t="inlineStr">
        <is>
          <t>The Hague, M. Nijhoff, 1963.</t>
        </is>
      </c>
      <c r="O61" t="inlineStr">
        <is>
          <t>1963</t>
        </is>
      </c>
      <c r="Q61" t="inlineStr">
        <is>
          <t>eng</t>
        </is>
      </c>
      <c r="R61" t="inlineStr">
        <is>
          <t>___</t>
        </is>
      </c>
      <c r="T61" t="inlineStr">
        <is>
          <t xml:space="preserve">BL </t>
        </is>
      </c>
      <c r="U61" t="n">
        <v>5</v>
      </c>
      <c r="V61" t="n">
        <v>5</v>
      </c>
      <c r="W61" t="inlineStr">
        <is>
          <t>2000-02-24</t>
        </is>
      </c>
      <c r="X61" t="inlineStr">
        <is>
          <t>2000-02-24</t>
        </is>
      </c>
      <c r="Y61" t="inlineStr">
        <is>
          <t>1990-10-03</t>
        </is>
      </c>
      <c r="Z61" t="inlineStr">
        <is>
          <t>1990-10-03</t>
        </is>
      </c>
      <c r="AA61" t="n">
        <v>308</v>
      </c>
      <c r="AB61" t="n">
        <v>246</v>
      </c>
      <c r="AC61" t="n">
        <v>341</v>
      </c>
      <c r="AD61" t="n">
        <v>2</v>
      </c>
      <c r="AE61" t="n">
        <v>2</v>
      </c>
      <c r="AF61" t="n">
        <v>23</v>
      </c>
      <c r="AG61" t="n">
        <v>27</v>
      </c>
      <c r="AH61" t="n">
        <v>7</v>
      </c>
      <c r="AI61" t="n">
        <v>9</v>
      </c>
      <c r="AJ61" t="n">
        <v>7</v>
      </c>
      <c r="AK61" t="n">
        <v>8</v>
      </c>
      <c r="AL61" t="n">
        <v>18</v>
      </c>
      <c r="AM61" t="n">
        <v>20</v>
      </c>
      <c r="AN61" t="n">
        <v>1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HYPERLINK("https://creighton-primo.hosted.exlibrisgroup.com/primo-explore/search?tab=default_tab&amp;search_scope=EVERYTHING&amp;vid=01CRU&amp;lang=en_US&amp;offset=0&amp;query=any,contains,991003556109702656","Catalog Record")</f>
        <v/>
      </c>
      <c r="AV61">
        <f>HYPERLINK("http://www.worldcat.org/oclc/1124340","WorldCat Record")</f>
        <v/>
      </c>
      <c r="AW61" t="inlineStr">
        <is>
          <t>1298424:eng</t>
        </is>
      </c>
      <c r="AX61" t="inlineStr">
        <is>
          <t>1124340</t>
        </is>
      </c>
      <c r="AY61" t="inlineStr">
        <is>
          <t>991003556109702656</t>
        </is>
      </c>
      <c r="AZ61" t="inlineStr">
        <is>
          <t>991003556109702656</t>
        </is>
      </c>
      <c r="BA61" t="inlineStr">
        <is>
          <t>2269431930002656</t>
        </is>
      </c>
      <c r="BB61" t="inlineStr">
        <is>
          <t>BOOK</t>
        </is>
      </c>
      <c r="BE61" t="inlineStr">
        <is>
          <t>32285000331602</t>
        </is>
      </c>
      <c r="BF61" t="inlineStr">
        <is>
          <t>893781128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BL218 .B5</t>
        </is>
      </c>
      <c r="E62" t="inlineStr">
        <is>
          <t>0                      BL 0218000B  5</t>
        </is>
      </c>
      <c r="F62" t="inlineStr">
        <is>
          <t>Selected essays on gnosticism, dualism and mysteriosophy / by Ugo Bianchi.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Bianchi, Ugo.</t>
        </is>
      </c>
      <c r="N62" t="inlineStr">
        <is>
          <t>Leiden : Brill, 1978.</t>
        </is>
      </c>
      <c r="O62" t="inlineStr">
        <is>
          <t>1978</t>
        </is>
      </c>
      <c r="Q62" t="inlineStr">
        <is>
          <t>fre</t>
        </is>
      </c>
      <c r="R62" t="inlineStr">
        <is>
          <t xml:space="preserve">ne </t>
        </is>
      </c>
      <c r="S62" t="inlineStr">
        <is>
          <t>Studies in the history of religions : Supplements to Numen ; v. 38</t>
        </is>
      </c>
      <c r="T62" t="inlineStr">
        <is>
          <t xml:space="preserve">BL </t>
        </is>
      </c>
      <c r="U62" t="n">
        <v>4</v>
      </c>
      <c r="V62" t="n">
        <v>4</v>
      </c>
      <c r="W62" t="inlineStr">
        <is>
          <t>2002-11-26</t>
        </is>
      </c>
      <c r="X62" t="inlineStr">
        <is>
          <t>2002-11-26</t>
        </is>
      </c>
      <c r="Y62" t="inlineStr">
        <is>
          <t>1990-10-03</t>
        </is>
      </c>
      <c r="Z62" t="inlineStr">
        <is>
          <t>1990-10-03</t>
        </is>
      </c>
      <c r="AA62" t="n">
        <v>257</v>
      </c>
      <c r="AB62" t="n">
        <v>172</v>
      </c>
      <c r="AC62" t="n">
        <v>192</v>
      </c>
      <c r="AD62" t="n">
        <v>2</v>
      </c>
      <c r="AE62" t="n">
        <v>2</v>
      </c>
      <c r="AF62" t="n">
        <v>10</v>
      </c>
      <c r="AG62" t="n">
        <v>10</v>
      </c>
      <c r="AH62" t="n">
        <v>1</v>
      </c>
      <c r="AI62" t="n">
        <v>1</v>
      </c>
      <c r="AJ62" t="n">
        <v>3</v>
      </c>
      <c r="AK62" t="n">
        <v>3</v>
      </c>
      <c r="AL62" t="n">
        <v>6</v>
      </c>
      <c r="AM62" t="n">
        <v>6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HYPERLINK("http://catalog.hathitrust.org/Record/000775930","HathiTrust Record")</f>
        <v/>
      </c>
      <c r="AU62">
        <f>HYPERLINK("https://creighton-primo.hosted.exlibrisgroup.com/primo-explore/search?tab=default_tab&amp;search_scope=EVERYTHING&amp;vid=01CRU&amp;lang=en_US&amp;offset=0&amp;query=any,contains,991004685649702656","Catalog Record")</f>
        <v/>
      </c>
      <c r="AV62">
        <f>HYPERLINK("http://www.worldcat.org/oclc/4592228","WorldCat Record")</f>
        <v/>
      </c>
      <c r="AW62" t="inlineStr">
        <is>
          <t>633408:fre</t>
        </is>
      </c>
      <c r="AX62" t="inlineStr">
        <is>
          <t>4592228</t>
        </is>
      </c>
      <c r="AY62" t="inlineStr">
        <is>
          <t>991004685649702656</t>
        </is>
      </c>
      <c r="AZ62" t="inlineStr">
        <is>
          <t>991004685649702656</t>
        </is>
      </c>
      <c r="BA62" t="inlineStr">
        <is>
          <t>2272726250002656</t>
        </is>
      </c>
      <c r="BB62" t="inlineStr">
        <is>
          <t>BOOK</t>
        </is>
      </c>
      <c r="BD62" t="inlineStr">
        <is>
          <t>9789004054325</t>
        </is>
      </c>
      <c r="BE62" t="inlineStr">
        <is>
          <t>32285000331594</t>
        </is>
      </c>
      <c r="BF62" t="inlineStr">
        <is>
          <t>893350277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BL2202 .T5</t>
        </is>
      </c>
      <c r="E63" t="inlineStr">
        <is>
          <t>0                      BL 2202000T  5</t>
        </is>
      </c>
      <c r="F63" t="inlineStr">
        <is>
          <t>The new religions of Japan / Harry Thomsen.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Thomsen, Harry.</t>
        </is>
      </c>
      <c r="N63" t="inlineStr">
        <is>
          <t>Rutland, Vt., C.E. Tuttle Co. [1963]</t>
        </is>
      </c>
      <c r="O63" t="inlineStr">
        <is>
          <t>1963</t>
        </is>
      </c>
      <c r="P63" t="inlineStr">
        <is>
          <t>[1st ed.]</t>
        </is>
      </c>
      <c r="Q63" t="inlineStr">
        <is>
          <t>eng</t>
        </is>
      </c>
      <c r="R63" t="inlineStr">
        <is>
          <t>vtu</t>
        </is>
      </c>
      <c r="T63" t="inlineStr">
        <is>
          <t xml:space="preserve">BL </t>
        </is>
      </c>
      <c r="U63" t="n">
        <v>1</v>
      </c>
      <c r="V63" t="n">
        <v>1</v>
      </c>
      <c r="W63" t="inlineStr">
        <is>
          <t>2004-12-01</t>
        </is>
      </c>
      <c r="X63" t="inlineStr">
        <is>
          <t>2004-12-01</t>
        </is>
      </c>
      <c r="Y63" t="inlineStr">
        <is>
          <t>1990-10-18</t>
        </is>
      </c>
      <c r="Z63" t="inlineStr">
        <is>
          <t>1990-10-18</t>
        </is>
      </c>
      <c r="AA63" t="n">
        <v>672</v>
      </c>
      <c r="AB63" t="n">
        <v>588</v>
      </c>
      <c r="AC63" t="n">
        <v>664</v>
      </c>
      <c r="AD63" t="n">
        <v>5</v>
      </c>
      <c r="AE63" t="n">
        <v>5</v>
      </c>
      <c r="AF63" t="n">
        <v>21</v>
      </c>
      <c r="AG63" t="n">
        <v>23</v>
      </c>
      <c r="AH63" t="n">
        <v>9</v>
      </c>
      <c r="AI63" t="n">
        <v>11</v>
      </c>
      <c r="AJ63" t="n">
        <v>3</v>
      </c>
      <c r="AK63" t="n">
        <v>3</v>
      </c>
      <c r="AL63" t="n">
        <v>10</v>
      </c>
      <c r="AM63" t="n">
        <v>12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HYPERLINK("http://catalog.hathitrust.org/Record/007125173","HathiTrust Record")</f>
        <v/>
      </c>
      <c r="AU63">
        <f>HYPERLINK("https://creighton-primo.hosted.exlibrisgroup.com/primo-explore/search?tab=default_tab&amp;search_scope=EVERYTHING&amp;vid=01CRU&amp;lang=en_US&amp;offset=0&amp;query=any,contains,991000956329702656","Catalog Record")</f>
        <v/>
      </c>
      <c r="AV63">
        <f>HYPERLINK("http://www.worldcat.org/oclc/168039","WorldCat Record")</f>
        <v/>
      </c>
      <c r="AW63" t="inlineStr">
        <is>
          <t>502289:eng</t>
        </is>
      </c>
      <c r="AX63" t="inlineStr">
        <is>
          <t>168039</t>
        </is>
      </c>
      <c r="AY63" t="inlineStr">
        <is>
          <t>991000956329702656</t>
        </is>
      </c>
      <c r="AZ63" t="inlineStr">
        <is>
          <t>991000956329702656</t>
        </is>
      </c>
      <c r="BA63" t="inlineStr">
        <is>
          <t>2262103050002656</t>
        </is>
      </c>
      <c r="BB63" t="inlineStr">
        <is>
          <t>BOOK</t>
        </is>
      </c>
      <c r="BE63" t="inlineStr">
        <is>
          <t>32285000351758</t>
        </is>
      </c>
      <c r="BF63" t="inlineStr">
        <is>
          <t>893243746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BL221 .C48</t>
        </is>
      </c>
      <c r="E64" t="inlineStr">
        <is>
          <t>0                      BL 0221000C  48</t>
        </is>
      </c>
      <c r="F64" t="inlineStr">
        <is>
          <t>Monotheism and Moses, edited with an introd. by Robert J. Christen and Harold E. Hazelton.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Christen, Robert J., compiler.</t>
        </is>
      </c>
      <c r="N64" t="inlineStr">
        <is>
          <t>Lexington, Mass., Heath [1969]</t>
        </is>
      </c>
      <c r="O64" t="inlineStr">
        <is>
          <t>1969</t>
        </is>
      </c>
      <c r="Q64" t="inlineStr">
        <is>
          <t>eng</t>
        </is>
      </c>
      <c r="R64" t="inlineStr">
        <is>
          <t>mau</t>
        </is>
      </c>
      <c r="S64" t="inlineStr">
        <is>
          <t>Problems in European civilization</t>
        </is>
      </c>
      <c r="T64" t="inlineStr">
        <is>
          <t xml:space="preserve">BL </t>
        </is>
      </c>
      <c r="U64" t="n">
        <v>4</v>
      </c>
      <c r="V64" t="n">
        <v>4</v>
      </c>
      <c r="W64" t="inlineStr">
        <is>
          <t>1994-06-17</t>
        </is>
      </c>
      <c r="X64" t="inlineStr">
        <is>
          <t>1994-06-17</t>
        </is>
      </c>
      <c r="Y64" t="inlineStr">
        <is>
          <t>1990-10-03</t>
        </is>
      </c>
      <c r="Z64" t="inlineStr">
        <is>
          <t>1990-10-03</t>
        </is>
      </c>
      <c r="AA64" t="n">
        <v>453</v>
      </c>
      <c r="AB64" t="n">
        <v>385</v>
      </c>
      <c r="AC64" t="n">
        <v>391</v>
      </c>
      <c r="AD64" t="n">
        <v>2</v>
      </c>
      <c r="AE64" t="n">
        <v>2</v>
      </c>
      <c r="AF64" t="n">
        <v>18</v>
      </c>
      <c r="AG64" t="n">
        <v>18</v>
      </c>
      <c r="AH64" t="n">
        <v>7</v>
      </c>
      <c r="AI64" t="n">
        <v>7</v>
      </c>
      <c r="AJ64" t="n">
        <v>4</v>
      </c>
      <c r="AK64" t="n">
        <v>4</v>
      </c>
      <c r="AL64" t="n">
        <v>11</v>
      </c>
      <c r="AM64" t="n">
        <v>11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HYPERLINK("http://catalog.hathitrust.org/Record/006604550","HathiTrust Record")</f>
        <v/>
      </c>
      <c r="AU64">
        <f>HYPERLINK("https://creighton-primo.hosted.exlibrisgroup.com/primo-explore/search?tab=default_tab&amp;search_scope=EVERYTHING&amp;vid=01CRU&amp;lang=en_US&amp;offset=0&amp;query=any,contains,991005431309702656","Catalog Record")</f>
        <v/>
      </c>
      <c r="AV64">
        <f>HYPERLINK("http://www.worldcat.org/oclc/512","WorldCat Record")</f>
        <v/>
      </c>
      <c r="AW64" t="inlineStr">
        <is>
          <t>1123730:eng</t>
        </is>
      </c>
      <c r="AX64" t="inlineStr">
        <is>
          <t>512</t>
        </is>
      </c>
      <c r="AY64" t="inlineStr">
        <is>
          <t>991005431309702656</t>
        </is>
      </c>
      <c r="AZ64" t="inlineStr">
        <is>
          <t>991005431309702656</t>
        </is>
      </c>
      <c r="BA64" t="inlineStr">
        <is>
          <t>2272525550002656</t>
        </is>
      </c>
      <c r="BB64" t="inlineStr">
        <is>
          <t>BOOK</t>
        </is>
      </c>
      <c r="BE64" t="inlineStr">
        <is>
          <t>32285000331651</t>
        </is>
      </c>
      <c r="BF64" t="inlineStr">
        <is>
          <t>893230694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BL2210 .B4 1957b</t>
        </is>
      </c>
      <c r="E65" t="inlineStr">
        <is>
          <t>0                      BL 2210000B  4           1957b</t>
        </is>
      </c>
      <c r="F65" t="inlineStr">
        <is>
          <t>Tokugawa religion : the values of pre-industrial Japan / by Robert N. Bellah.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Bellah, Robert N. (Robert Neelly), 1927-2013.</t>
        </is>
      </c>
      <c r="N65" t="inlineStr">
        <is>
          <t>New York (N.Y.) : The Free Press ; London (Eng.) : Collier-Macmillan, 1957</t>
        </is>
      </c>
      <c r="O65" t="inlineStr">
        <is>
          <t>1957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BL </t>
        </is>
      </c>
      <c r="U65" t="n">
        <v>5</v>
      </c>
      <c r="V65" t="n">
        <v>5</v>
      </c>
      <c r="W65" t="inlineStr">
        <is>
          <t>2001-04-10</t>
        </is>
      </c>
      <c r="X65" t="inlineStr">
        <is>
          <t>2001-04-10</t>
        </is>
      </c>
      <c r="Y65" t="inlineStr">
        <is>
          <t>1990-10-18</t>
        </is>
      </c>
      <c r="Z65" t="inlineStr">
        <is>
          <t>1990-10-18</t>
        </is>
      </c>
      <c r="AA65" t="n">
        <v>844</v>
      </c>
      <c r="AB65" t="n">
        <v>682</v>
      </c>
      <c r="AC65" t="n">
        <v>796</v>
      </c>
      <c r="AD65" t="n">
        <v>3</v>
      </c>
      <c r="AE65" t="n">
        <v>4</v>
      </c>
      <c r="AF65" t="n">
        <v>35</v>
      </c>
      <c r="AG65" t="n">
        <v>38</v>
      </c>
      <c r="AH65" t="n">
        <v>17</v>
      </c>
      <c r="AI65" t="n">
        <v>18</v>
      </c>
      <c r="AJ65" t="n">
        <v>7</v>
      </c>
      <c r="AK65" t="n">
        <v>7</v>
      </c>
      <c r="AL65" t="n">
        <v>17</v>
      </c>
      <c r="AM65" t="n">
        <v>18</v>
      </c>
      <c r="AN65" t="n">
        <v>2</v>
      </c>
      <c r="AO65" t="n">
        <v>3</v>
      </c>
      <c r="AP65" t="n">
        <v>1</v>
      </c>
      <c r="AQ65" t="n">
        <v>1</v>
      </c>
      <c r="AR65" t="inlineStr">
        <is>
          <t>No</t>
        </is>
      </c>
      <c r="AS65" t="inlineStr">
        <is>
          <t>Yes</t>
        </is>
      </c>
      <c r="AT65">
        <f>HYPERLINK("http://catalog.hathitrust.org/Record/001394917","HathiTrust Record")</f>
        <v/>
      </c>
      <c r="AU65">
        <f>HYPERLINK("https://creighton-primo.hosted.exlibrisgroup.com/primo-explore/search?tab=default_tab&amp;search_scope=EVERYTHING&amp;vid=01CRU&amp;lang=en_US&amp;offset=0&amp;query=any,contains,991005129779702656","Catalog Record")</f>
        <v/>
      </c>
      <c r="AV65">
        <f>HYPERLINK("http://www.worldcat.org/oclc/374866","WorldCat Record")</f>
        <v/>
      </c>
      <c r="AW65" t="inlineStr">
        <is>
          <t>794240366:eng</t>
        </is>
      </c>
      <c r="AX65" t="inlineStr">
        <is>
          <t>374866</t>
        </is>
      </c>
      <c r="AY65" t="inlineStr">
        <is>
          <t>991005129779702656</t>
        </is>
      </c>
      <c r="AZ65" t="inlineStr">
        <is>
          <t>991005129779702656</t>
        </is>
      </c>
      <c r="BA65" t="inlineStr">
        <is>
          <t>2268524860002656</t>
        </is>
      </c>
      <c r="BB65" t="inlineStr">
        <is>
          <t>BOOK</t>
        </is>
      </c>
      <c r="BE65" t="inlineStr">
        <is>
          <t>32285000351774</t>
        </is>
      </c>
      <c r="BF65" t="inlineStr">
        <is>
          <t>893443445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BL2211.S38 B55</t>
        </is>
      </c>
      <c r="E66" t="inlineStr">
        <is>
          <t>0                      BL 2211000S  38                 B  55</t>
        </is>
      </c>
      <c r="F66" t="inlineStr">
        <is>
          <t>The catalpa bow : a study of shamanistic practices in Japan / Carmen Blacker.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Blacker, Carmen.</t>
        </is>
      </c>
      <c r="N66" t="inlineStr">
        <is>
          <t>London : Allen &amp; Unwin, 1975.</t>
        </is>
      </c>
      <c r="O66" t="inlineStr">
        <is>
          <t>1975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BL </t>
        </is>
      </c>
      <c r="U66" t="n">
        <v>3</v>
      </c>
      <c r="V66" t="n">
        <v>3</v>
      </c>
      <c r="W66" t="inlineStr">
        <is>
          <t>2004-09-17</t>
        </is>
      </c>
      <c r="X66" t="inlineStr">
        <is>
          <t>2004-09-17</t>
        </is>
      </c>
      <c r="Y66" t="inlineStr">
        <is>
          <t>1990-10-18</t>
        </is>
      </c>
      <c r="Z66" t="inlineStr">
        <is>
          <t>1990-10-18</t>
        </is>
      </c>
      <c r="AA66" t="n">
        <v>484</v>
      </c>
      <c r="AB66" t="n">
        <v>345</v>
      </c>
      <c r="AC66" t="n">
        <v>421</v>
      </c>
      <c r="AD66" t="n">
        <v>3</v>
      </c>
      <c r="AE66" t="n">
        <v>3</v>
      </c>
      <c r="AF66" t="n">
        <v>18</v>
      </c>
      <c r="AG66" t="n">
        <v>24</v>
      </c>
      <c r="AH66" t="n">
        <v>4</v>
      </c>
      <c r="AI66" t="n">
        <v>7</v>
      </c>
      <c r="AJ66" t="n">
        <v>6</v>
      </c>
      <c r="AK66" t="n">
        <v>8</v>
      </c>
      <c r="AL66" t="n">
        <v>10</v>
      </c>
      <c r="AM66" t="n">
        <v>13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HYPERLINK("https://creighton-primo.hosted.exlibrisgroup.com/primo-explore/search?tab=default_tab&amp;search_scope=EVERYTHING&amp;vid=01CRU&amp;lang=en_US&amp;offset=0&amp;query=any,contains,991004000949702656","Catalog Record")</f>
        <v/>
      </c>
      <c r="AV66">
        <f>HYPERLINK("http://www.worldcat.org/oclc/2073229","WorldCat Record")</f>
        <v/>
      </c>
      <c r="AW66" t="inlineStr">
        <is>
          <t>3952682:eng</t>
        </is>
      </c>
      <c r="AX66" t="inlineStr">
        <is>
          <t>2073229</t>
        </is>
      </c>
      <c r="AY66" t="inlineStr">
        <is>
          <t>991004000949702656</t>
        </is>
      </c>
      <c r="AZ66" t="inlineStr">
        <is>
          <t>991004000949702656</t>
        </is>
      </c>
      <c r="BA66" t="inlineStr">
        <is>
          <t>2256892900002656</t>
        </is>
      </c>
      <c r="BB66" t="inlineStr">
        <is>
          <t>BOOK</t>
        </is>
      </c>
      <c r="BD66" t="inlineStr">
        <is>
          <t>9780043980040</t>
        </is>
      </c>
      <c r="BE66" t="inlineStr">
        <is>
          <t>32285000351790</t>
        </is>
      </c>
      <c r="BF66" t="inlineStr">
        <is>
          <t>893253123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BL2220 .S38 1986</t>
        </is>
      </c>
      <c r="E67" t="inlineStr">
        <is>
          <t>0                      BL 2220000S  38          1986</t>
        </is>
      </c>
      <c r="F67" t="inlineStr">
        <is>
          <t>Shintō-bibliography in western languages : bibliography on Shintō and religious sects, intellectual schools and movements influenced by Shintōism / by Arcadio Schwade.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Schwade, Arcadio.</t>
        </is>
      </c>
      <c r="N67" t="inlineStr">
        <is>
          <t>Leiden : E.J. Brill, 1986.</t>
        </is>
      </c>
      <c r="O67" t="inlineStr">
        <is>
          <t>1986</t>
        </is>
      </c>
      <c r="Q67" t="inlineStr">
        <is>
          <t>eng</t>
        </is>
      </c>
      <c r="R67" t="inlineStr">
        <is>
          <t xml:space="preserve">ne </t>
        </is>
      </c>
      <c r="T67" t="inlineStr">
        <is>
          <t xml:space="preserve">BL </t>
        </is>
      </c>
      <c r="U67" t="n">
        <v>1</v>
      </c>
      <c r="V67" t="n">
        <v>1</v>
      </c>
      <c r="W67" t="inlineStr">
        <is>
          <t>2002-11-19</t>
        </is>
      </c>
      <c r="X67" t="inlineStr">
        <is>
          <t>2002-11-19</t>
        </is>
      </c>
      <c r="Y67" t="inlineStr">
        <is>
          <t>2002-11-19</t>
        </is>
      </c>
      <c r="Z67" t="inlineStr">
        <is>
          <t>2002-11-19</t>
        </is>
      </c>
      <c r="AA67" t="n">
        <v>196</v>
      </c>
      <c r="AB67" t="n">
        <v>134</v>
      </c>
      <c r="AC67" t="n">
        <v>139</v>
      </c>
      <c r="AD67" t="n">
        <v>2</v>
      </c>
      <c r="AE67" t="n">
        <v>2</v>
      </c>
      <c r="AF67" t="n">
        <v>8</v>
      </c>
      <c r="AG67" t="n">
        <v>8</v>
      </c>
      <c r="AH67" t="n">
        <v>1</v>
      </c>
      <c r="AI67" t="n">
        <v>1</v>
      </c>
      <c r="AJ67" t="n">
        <v>3</v>
      </c>
      <c r="AK67" t="n">
        <v>3</v>
      </c>
      <c r="AL67" t="n">
        <v>5</v>
      </c>
      <c r="AM67" t="n">
        <v>5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HYPERLINK("https://creighton-primo.hosted.exlibrisgroup.com/primo-explore/search?tab=default_tab&amp;search_scope=EVERYTHING&amp;vid=01CRU&amp;lang=en_US&amp;offset=0&amp;query=any,contains,991003946859702656","Catalog Record")</f>
        <v/>
      </c>
      <c r="AV67">
        <f>HYPERLINK("http://www.worldcat.org/oclc/17441703","WorldCat Record")</f>
        <v/>
      </c>
      <c r="AW67" t="inlineStr">
        <is>
          <t>254438691:eng</t>
        </is>
      </c>
      <c r="AX67" t="inlineStr">
        <is>
          <t>17441703</t>
        </is>
      </c>
      <c r="AY67" t="inlineStr">
        <is>
          <t>991003946859702656</t>
        </is>
      </c>
      <c r="AZ67" t="inlineStr">
        <is>
          <t>991003946859702656</t>
        </is>
      </c>
      <c r="BA67" t="inlineStr">
        <is>
          <t>2260787380002656</t>
        </is>
      </c>
      <c r="BB67" t="inlineStr">
        <is>
          <t>BOOK</t>
        </is>
      </c>
      <c r="BD67" t="inlineStr">
        <is>
          <t>9789004081734</t>
        </is>
      </c>
      <c r="BE67" t="inlineStr">
        <is>
          <t>32285004664768</t>
        </is>
      </c>
      <c r="BF67" t="inlineStr">
        <is>
          <t>893788102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BL2222.T4 T36 1993</t>
        </is>
      </c>
      <c r="E68" t="inlineStr">
        <is>
          <t>0                      BL 2222000T  4                  T  36          1993</t>
        </is>
      </c>
      <c r="F68" t="inlineStr">
        <is>
          <t>The doctrine of Tenrikyo.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Tenri, Nara, Japan : Tenrikyo Church Headquarters, c1993, 1995 printing.</t>
        </is>
      </c>
      <c r="O68" t="inlineStr">
        <is>
          <t>1993</t>
        </is>
      </c>
      <c r="P68" t="inlineStr">
        <is>
          <t>10th ed.</t>
        </is>
      </c>
      <c r="Q68" t="inlineStr">
        <is>
          <t>eng</t>
        </is>
      </c>
      <c r="R68" t="inlineStr">
        <is>
          <t xml:space="preserve">ja </t>
        </is>
      </c>
      <c r="T68" t="inlineStr">
        <is>
          <t xml:space="preserve">BL </t>
        </is>
      </c>
      <c r="U68" t="n">
        <v>1</v>
      </c>
      <c r="V68" t="n">
        <v>1</v>
      </c>
      <c r="W68" t="inlineStr">
        <is>
          <t>2004-04-10</t>
        </is>
      </c>
      <c r="X68" t="inlineStr">
        <is>
          <t>2004-04-10</t>
        </is>
      </c>
      <c r="Y68" t="inlineStr">
        <is>
          <t>1998-07-13</t>
        </is>
      </c>
      <c r="Z68" t="inlineStr">
        <is>
          <t>1998-07-13</t>
        </is>
      </c>
      <c r="AA68" t="n">
        <v>91</v>
      </c>
      <c r="AB68" t="n">
        <v>62</v>
      </c>
      <c r="AC68" t="n">
        <v>113</v>
      </c>
      <c r="AD68" t="n">
        <v>2</v>
      </c>
      <c r="AE68" t="n">
        <v>2</v>
      </c>
      <c r="AF68" t="n">
        <v>4</v>
      </c>
      <c r="AG68" t="n">
        <v>5</v>
      </c>
      <c r="AH68" t="n">
        <v>2</v>
      </c>
      <c r="AI68" t="n">
        <v>2</v>
      </c>
      <c r="AJ68" t="n">
        <v>1</v>
      </c>
      <c r="AK68" t="n">
        <v>2</v>
      </c>
      <c r="AL68" t="n">
        <v>1</v>
      </c>
      <c r="AM68" t="n">
        <v>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HYPERLINK("http://catalog.hathitrust.org/Record/003313878","HathiTrust Record")</f>
        <v/>
      </c>
      <c r="AU68">
        <f>HYPERLINK("https://creighton-primo.hosted.exlibrisgroup.com/primo-explore/search?tab=default_tab&amp;search_scope=EVERYTHING&amp;vid=01CRU&amp;lang=en_US&amp;offset=0&amp;query=any,contains,991002939859702656","Catalog Record")</f>
        <v/>
      </c>
      <c r="AV68">
        <f>HYPERLINK("http://www.worldcat.org/oclc/39117578","WorldCat Record")</f>
        <v/>
      </c>
      <c r="AW68" t="inlineStr">
        <is>
          <t>1847957702:eng</t>
        </is>
      </c>
      <c r="AX68" t="inlineStr">
        <is>
          <t>39117578</t>
        </is>
      </c>
      <c r="AY68" t="inlineStr">
        <is>
          <t>991002939859702656</t>
        </is>
      </c>
      <c r="AZ68" t="inlineStr">
        <is>
          <t>991002939859702656</t>
        </is>
      </c>
      <c r="BA68" t="inlineStr">
        <is>
          <t>2260386720002656</t>
        </is>
      </c>
      <c r="BB68" t="inlineStr">
        <is>
          <t>BOOK</t>
        </is>
      </c>
      <c r="BE68" t="inlineStr">
        <is>
          <t>32285003431839</t>
        </is>
      </c>
      <c r="BF68" t="inlineStr">
        <is>
          <t>893498744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BL2222.T4692 N34613 1993</t>
        </is>
      </c>
      <c r="E69" t="inlineStr">
        <is>
          <t>0                      BL 2222000T  4692               N  34613       1993</t>
        </is>
      </c>
      <c r="F69" t="inlineStr">
        <is>
          <t>Ofudesaki : the tip of the writing brush.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Nakayama, Miki, 1798-1887.</t>
        </is>
      </c>
      <c r="N69" t="inlineStr">
        <is>
          <t>Tenri, Nara, Japan : Tenrikyo Church Headquarters, 1993.</t>
        </is>
      </c>
      <c r="O69" t="inlineStr">
        <is>
          <t>1993</t>
        </is>
      </c>
      <c r="P69" t="inlineStr">
        <is>
          <t>6th ed.</t>
        </is>
      </c>
      <c r="Q69" t="inlineStr">
        <is>
          <t>eng</t>
        </is>
      </c>
      <c r="R69" t="inlineStr">
        <is>
          <t xml:space="preserve">ja </t>
        </is>
      </c>
      <c r="T69" t="inlineStr">
        <is>
          <t xml:space="preserve">BL </t>
        </is>
      </c>
      <c r="U69" t="n">
        <v>1</v>
      </c>
      <c r="V69" t="n">
        <v>1</v>
      </c>
      <c r="W69" t="inlineStr">
        <is>
          <t>1998-10-14</t>
        </is>
      </c>
      <c r="X69" t="inlineStr">
        <is>
          <t>1998-10-14</t>
        </is>
      </c>
      <c r="Y69" t="inlineStr">
        <is>
          <t>1998-05-06</t>
        </is>
      </c>
      <c r="Z69" t="inlineStr">
        <is>
          <t>1998-05-06</t>
        </is>
      </c>
      <c r="AA69" t="n">
        <v>98</v>
      </c>
      <c r="AB69" t="n">
        <v>61</v>
      </c>
      <c r="AC69" t="n">
        <v>75</v>
      </c>
      <c r="AD69" t="n">
        <v>3</v>
      </c>
      <c r="AE69" t="n">
        <v>3</v>
      </c>
      <c r="AF69" t="n">
        <v>4</v>
      </c>
      <c r="AG69" t="n">
        <v>4</v>
      </c>
      <c r="AH69" t="n">
        <v>1</v>
      </c>
      <c r="AI69" t="n">
        <v>1</v>
      </c>
      <c r="AJ69" t="n">
        <v>2</v>
      </c>
      <c r="AK69" t="n">
        <v>2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HYPERLINK("http://catalog.hathitrust.org/Record/005992745","HathiTrust Record")</f>
        <v/>
      </c>
      <c r="AU69">
        <f>HYPERLINK("https://creighton-primo.hosted.exlibrisgroup.com/primo-explore/search?tab=default_tab&amp;search_scope=EVERYTHING&amp;vid=01CRU&amp;lang=en_US&amp;offset=0&amp;query=any,contains,991002430439702656","Catalog Record")</f>
        <v/>
      </c>
      <c r="AV69">
        <f>HYPERLINK("http://www.worldcat.org/oclc/40334068","WorldCat Record")</f>
        <v/>
      </c>
      <c r="AW69" t="inlineStr">
        <is>
          <t>2021163:eng</t>
        </is>
      </c>
      <c r="AX69" t="inlineStr">
        <is>
          <t>40334068</t>
        </is>
      </c>
      <c r="AY69" t="inlineStr">
        <is>
          <t>991002430439702656</t>
        </is>
      </c>
      <c r="AZ69" t="inlineStr">
        <is>
          <t>991002430439702656</t>
        </is>
      </c>
      <c r="BA69" t="inlineStr">
        <is>
          <t>2258685240002656</t>
        </is>
      </c>
      <c r="BB69" t="inlineStr">
        <is>
          <t>BOOK</t>
        </is>
      </c>
      <c r="BE69" t="inlineStr">
        <is>
          <t>32285003406526</t>
        </is>
      </c>
      <c r="BF69" t="inlineStr">
        <is>
          <t>893903889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BL2224.3 .E5413 1990</t>
        </is>
      </c>
      <c r="E70" t="inlineStr">
        <is>
          <t>0                      BL 2224300E  5413        1990</t>
        </is>
      </c>
      <c r="F70" t="inlineStr">
        <is>
          <t>Norito : a translation of the ancient Japanese ritual prayers / by Donald L. Philippi ; with a new preface by Joseph M. Kitagawa.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Engishiki norito. English.</t>
        </is>
      </c>
      <c r="N70" t="inlineStr">
        <is>
          <t>Princeton, N.J. : Princeton University Press, c1990.</t>
        </is>
      </c>
      <c r="O70" t="inlineStr">
        <is>
          <t>1990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BL </t>
        </is>
      </c>
      <c r="U70" t="n">
        <v>1</v>
      </c>
      <c r="V70" t="n">
        <v>1</v>
      </c>
      <c r="W70" t="inlineStr">
        <is>
          <t>2005-06-23</t>
        </is>
      </c>
      <c r="X70" t="inlineStr">
        <is>
          <t>2005-06-23</t>
        </is>
      </c>
      <c r="Y70" t="inlineStr">
        <is>
          <t>1999-10-28</t>
        </is>
      </c>
      <c r="Z70" t="inlineStr">
        <is>
          <t>1999-10-28</t>
        </is>
      </c>
      <c r="AA70" t="n">
        <v>320</v>
      </c>
      <c r="AB70" t="n">
        <v>250</v>
      </c>
      <c r="AC70" t="n">
        <v>250</v>
      </c>
      <c r="AD70" t="n">
        <v>2</v>
      </c>
      <c r="AE70" t="n">
        <v>2</v>
      </c>
      <c r="AF70" t="n">
        <v>21</v>
      </c>
      <c r="AG70" t="n">
        <v>21</v>
      </c>
      <c r="AH70" t="n">
        <v>10</v>
      </c>
      <c r="AI70" t="n">
        <v>10</v>
      </c>
      <c r="AJ70" t="n">
        <v>6</v>
      </c>
      <c r="AK70" t="n">
        <v>6</v>
      </c>
      <c r="AL70" t="n">
        <v>12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HYPERLINK("https://creighton-primo.hosted.exlibrisgroup.com/primo-explore/search?tab=default_tab&amp;search_scope=EVERYTHING&amp;vid=01CRU&amp;lang=en_US&amp;offset=0&amp;query=any,contains,991001668049702656","Catalog Record")</f>
        <v/>
      </c>
      <c r="AV70">
        <f>HYPERLINK("http://www.worldcat.org/oclc/21229205","WorldCat Record")</f>
        <v/>
      </c>
      <c r="AW70" t="inlineStr">
        <is>
          <t>367587413:eng</t>
        </is>
      </c>
      <c r="AX70" t="inlineStr">
        <is>
          <t>21229205</t>
        </is>
      </c>
      <c r="AY70" t="inlineStr">
        <is>
          <t>991001668049702656</t>
        </is>
      </c>
      <c r="AZ70" t="inlineStr">
        <is>
          <t>991001668049702656</t>
        </is>
      </c>
      <c r="BA70" t="inlineStr">
        <is>
          <t>2270508440002656</t>
        </is>
      </c>
      <c r="BB70" t="inlineStr">
        <is>
          <t>BOOK</t>
        </is>
      </c>
      <c r="BD70" t="inlineStr">
        <is>
          <t>9780691068596</t>
        </is>
      </c>
      <c r="BE70" t="inlineStr">
        <is>
          <t>32285003615555</t>
        </is>
      </c>
      <c r="BF70" t="inlineStr">
        <is>
          <t>893615286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BL226 .A5 1990</t>
        </is>
      </c>
      <c r="E71" t="inlineStr">
        <is>
          <t>0                      BL 0226000A  5           1990</t>
        </is>
      </c>
      <c r="F71" t="inlineStr">
        <is>
          <t>The mirror of creation / E.J. Ambrose.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Ambrose, Edmund Jack.</t>
        </is>
      </c>
      <c r="N71" t="inlineStr">
        <is>
          <t>Edinburgh : Scottish Academic Press, 1990, c1989.</t>
        </is>
      </c>
      <c r="O71" t="inlineStr">
        <is>
          <t>1990</t>
        </is>
      </c>
      <c r="Q71" t="inlineStr">
        <is>
          <t>eng</t>
        </is>
      </c>
      <c r="R71" t="inlineStr">
        <is>
          <t>stk</t>
        </is>
      </c>
      <c r="S71" t="inlineStr">
        <is>
          <t>Theology and science at the frontiers of knowledge ; no. 11</t>
        </is>
      </c>
      <c r="T71" t="inlineStr">
        <is>
          <t xml:space="preserve">BL </t>
        </is>
      </c>
      <c r="U71" t="n">
        <v>2</v>
      </c>
      <c r="V71" t="n">
        <v>2</v>
      </c>
      <c r="W71" t="inlineStr">
        <is>
          <t>1996-02-13</t>
        </is>
      </c>
      <c r="X71" t="inlineStr">
        <is>
          <t>1996-02-13</t>
        </is>
      </c>
      <c r="Y71" t="inlineStr">
        <is>
          <t>1992-10-14</t>
        </is>
      </c>
      <c r="Z71" t="inlineStr">
        <is>
          <t>1992-10-14</t>
        </is>
      </c>
      <c r="AA71" t="n">
        <v>154</v>
      </c>
      <c r="AB71" t="n">
        <v>108</v>
      </c>
      <c r="AC71" t="n">
        <v>110</v>
      </c>
      <c r="AD71" t="n">
        <v>2</v>
      </c>
      <c r="AE71" t="n">
        <v>2</v>
      </c>
      <c r="AF71" t="n">
        <v>9</v>
      </c>
      <c r="AG71" t="n">
        <v>9</v>
      </c>
      <c r="AH71" t="n">
        <v>0</v>
      </c>
      <c r="AI71" t="n">
        <v>0</v>
      </c>
      <c r="AJ71" t="n">
        <v>3</v>
      </c>
      <c r="AK71" t="n">
        <v>3</v>
      </c>
      <c r="AL71" t="n">
        <v>7</v>
      </c>
      <c r="AM71" t="n">
        <v>7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HYPERLINK("http://catalog.hathitrust.org/Record/002425959","HathiTrust Record")</f>
        <v/>
      </c>
      <c r="AU71">
        <f>HYPERLINK("https://creighton-primo.hosted.exlibrisgroup.com/primo-explore/search?tab=default_tab&amp;search_scope=EVERYTHING&amp;vid=01CRU&amp;lang=en_US&amp;offset=0&amp;query=any,contains,991001584559702656","Catalog Record")</f>
        <v/>
      </c>
      <c r="AV71">
        <f>HYPERLINK("http://www.worldcat.org/oclc/37132704","WorldCat Record")</f>
        <v/>
      </c>
      <c r="AW71" t="inlineStr">
        <is>
          <t>45527225:eng</t>
        </is>
      </c>
      <c r="AX71" t="inlineStr">
        <is>
          <t>37132704</t>
        </is>
      </c>
      <c r="AY71" t="inlineStr">
        <is>
          <t>991001584559702656</t>
        </is>
      </c>
      <c r="AZ71" t="inlineStr">
        <is>
          <t>991001584559702656</t>
        </is>
      </c>
      <c r="BA71" t="inlineStr">
        <is>
          <t>2271724140002656</t>
        </is>
      </c>
      <c r="BB71" t="inlineStr">
        <is>
          <t>BOOK</t>
        </is>
      </c>
      <c r="BD71" t="inlineStr">
        <is>
          <t>9780707305752</t>
        </is>
      </c>
      <c r="BE71" t="inlineStr">
        <is>
          <t>32285001317774</t>
        </is>
      </c>
      <c r="BF71" t="inlineStr">
        <is>
          <t>893866323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BL226 .O74</t>
        </is>
      </c>
      <c r="E72" t="inlineStr">
        <is>
          <t>0                      BL 0226000O  74</t>
        </is>
      </c>
      <c r="F72" t="inlineStr">
        <is>
          <t>Origins : Creation texts from the ancient Mediterranean : a chrestomathy / co-edited and translated, with an introd. and notes, by Harris Lenowitz &amp; Charles Doria ; with/and a pref. by Jerome Rothenberg.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Garden City, N.Y. : Anchor Press, 1976.</t>
        </is>
      </c>
      <c r="O72" t="inlineStr">
        <is>
          <t>1976</t>
        </is>
      </c>
      <c r="P72" t="inlineStr">
        <is>
          <t>1st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BL </t>
        </is>
      </c>
      <c r="U72" t="n">
        <v>2</v>
      </c>
      <c r="V72" t="n">
        <v>2</v>
      </c>
      <c r="W72" t="inlineStr">
        <is>
          <t>2008-04-14</t>
        </is>
      </c>
      <c r="X72" t="inlineStr">
        <is>
          <t>2008-04-14</t>
        </is>
      </c>
      <c r="Y72" t="inlineStr">
        <is>
          <t>1990-10-03</t>
        </is>
      </c>
      <c r="Z72" t="inlineStr">
        <is>
          <t>1990-10-03</t>
        </is>
      </c>
      <c r="AA72" t="n">
        <v>629</v>
      </c>
      <c r="AB72" t="n">
        <v>554</v>
      </c>
      <c r="AC72" t="n">
        <v>561</v>
      </c>
      <c r="AD72" t="n">
        <v>8</v>
      </c>
      <c r="AE72" t="n">
        <v>8</v>
      </c>
      <c r="AF72" t="n">
        <v>25</v>
      </c>
      <c r="AG72" t="n">
        <v>25</v>
      </c>
      <c r="AH72" t="n">
        <v>9</v>
      </c>
      <c r="AI72" t="n">
        <v>9</v>
      </c>
      <c r="AJ72" t="n">
        <v>3</v>
      </c>
      <c r="AK72" t="n">
        <v>3</v>
      </c>
      <c r="AL72" t="n">
        <v>9</v>
      </c>
      <c r="AM72" t="n">
        <v>9</v>
      </c>
      <c r="AN72" t="n">
        <v>7</v>
      </c>
      <c r="AO72" t="n">
        <v>7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HYPERLINK("http://catalog.hathitrust.org/Record/006229110","HathiTrust Record")</f>
        <v/>
      </c>
      <c r="AU72">
        <f>HYPERLINK("https://creighton-primo.hosted.exlibrisgroup.com/primo-explore/search?tab=default_tab&amp;search_scope=EVERYTHING&amp;vid=01CRU&amp;lang=en_US&amp;offset=0&amp;query=any,contains,991003967959702656","Catalog Record")</f>
        <v/>
      </c>
      <c r="AV72">
        <f>HYPERLINK("http://www.worldcat.org/oclc/1990727","WorldCat Record")</f>
        <v/>
      </c>
      <c r="AW72" t="inlineStr">
        <is>
          <t>889564548:eng</t>
        </is>
      </c>
      <c r="AX72" t="inlineStr">
        <is>
          <t>1990727</t>
        </is>
      </c>
      <c r="AY72" t="inlineStr">
        <is>
          <t>991003967959702656</t>
        </is>
      </c>
      <c r="AZ72" t="inlineStr">
        <is>
          <t>991003967959702656</t>
        </is>
      </c>
      <c r="BA72" t="inlineStr">
        <is>
          <t>2261913110002656</t>
        </is>
      </c>
      <c r="BB72" t="inlineStr">
        <is>
          <t>BOOK</t>
        </is>
      </c>
      <c r="BD72" t="inlineStr">
        <is>
          <t>9780385019224</t>
        </is>
      </c>
      <c r="BE72" t="inlineStr">
        <is>
          <t>32285000331719</t>
        </is>
      </c>
      <c r="BF72" t="inlineStr">
        <is>
          <t>893423221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BL2340 .W4</t>
        </is>
      </c>
      <c r="E73" t="inlineStr">
        <is>
          <t>0                      BL 2340000W  4</t>
        </is>
      </c>
      <c r="F73" t="inlineStr">
        <is>
          <t>The wild goats of Ein Gedi; a journal of religious encounters in the Holy Land / Herbert Weiner.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Weiner, Herbert, 1919-2013.</t>
        </is>
      </c>
      <c r="N73" t="inlineStr">
        <is>
          <t>Garden City, N. Y., Doubleday, 1961.</t>
        </is>
      </c>
      <c r="O73" t="inlineStr">
        <is>
          <t>1961</t>
        </is>
      </c>
      <c r="P73" t="inlineStr">
        <is>
          <t>[1st ed.]</t>
        </is>
      </c>
      <c r="Q73" t="inlineStr">
        <is>
          <t>eng</t>
        </is>
      </c>
      <c r="R73" t="inlineStr">
        <is>
          <t>___</t>
        </is>
      </c>
      <c r="T73" t="inlineStr">
        <is>
          <t xml:space="preserve">BL </t>
        </is>
      </c>
      <c r="U73" t="n">
        <v>4</v>
      </c>
      <c r="V73" t="n">
        <v>4</v>
      </c>
      <c r="W73" t="inlineStr">
        <is>
          <t>1998-03-22</t>
        </is>
      </c>
      <c r="X73" t="inlineStr">
        <is>
          <t>1998-03-22</t>
        </is>
      </c>
      <c r="Y73" t="inlineStr">
        <is>
          <t>1990-10-18</t>
        </is>
      </c>
      <c r="Z73" t="inlineStr">
        <is>
          <t>1990-10-18</t>
        </is>
      </c>
      <c r="AA73" t="n">
        <v>314</v>
      </c>
      <c r="AB73" t="n">
        <v>288</v>
      </c>
      <c r="AC73" t="n">
        <v>377</v>
      </c>
      <c r="AD73" t="n">
        <v>4</v>
      </c>
      <c r="AE73" t="n">
        <v>4</v>
      </c>
      <c r="AF73" t="n">
        <v>13</v>
      </c>
      <c r="AG73" t="n">
        <v>18</v>
      </c>
      <c r="AH73" t="n">
        <v>5</v>
      </c>
      <c r="AI73" t="n">
        <v>7</v>
      </c>
      <c r="AJ73" t="n">
        <v>1</v>
      </c>
      <c r="AK73" t="n">
        <v>1</v>
      </c>
      <c r="AL73" t="n">
        <v>7</v>
      </c>
      <c r="AM73" t="n">
        <v>11</v>
      </c>
      <c r="AN73" t="n">
        <v>3</v>
      </c>
      <c r="AO73" t="n">
        <v>3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HYPERLINK("http://catalog.hathitrust.org/Record/009456664","HathiTrust Record")</f>
        <v/>
      </c>
      <c r="AU73">
        <f>HYPERLINK("https://creighton-primo.hosted.exlibrisgroup.com/primo-explore/search?tab=default_tab&amp;search_scope=EVERYTHING&amp;vid=01CRU&amp;lang=en_US&amp;offset=0&amp;query=any,contains,991003748719702656","Catalog Record")</f>
        <v/>
      </c>
      <c r="AV73">
        <f>HYPERLINK("http://www.worldcat.org/oclc/1422140","WorldCat Record")</f>
        <v/>
      </c>
      <c r="AW73" t="inlineStr">
        <is>
          <t>2288853:eng</t>
        </is>
      </c>
      <c r="AX73" t="inlineStr">
        <is>
          <t>1422140</t>
        </is>
      </c>
      <c r="AY73" t="inlineStr">
        <is>
          <t>991003748719702656</t>
        </is>
      </c>
      <c r="AZ73" t="inlineStr">
        <is>
          <t>991003748719702656</t>
        </is>
      </c>
      <c r="BA73" t="inlineStr">
        <is>
          <t>2269362870002656</t>
        </is>
      </c>
      <c r="BB73" t="inlineStr">
        <is>
          <t>BOOK</t>
        </is>
      </c>
      <c r="BE73" t="inlineStr">
        <is>
          <t>32285000351857</t>
        </is>
      </c>
      <c r="BF73" t="inlineStr">
        <is>
          <t>893868799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BL2370.A35 M9 1963</t>
        </is>
      </c>
      <c r="E74" t="inlineStr">
        <is>
          <t>0                      BL 2370000A  35                 M  9           1963</t>
        </is>
      </c>
      <c r="F74" t="inlineStr">
        <is>
          <t>Ainu creed and cult / edited with a pref. and an additional chapter by B.Z. Seligman. Introd. by H. Watanabe.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Munro, N.</t>
        </is>
      </c>
      <c r="N74" t="inlineStr">
        <is>
          <t>New York, Columbia University Press, 1963 [c1962]</t>
        </is>
      </c>
      <c r="O74" t="inlineStr">
        <is>
          <t>1963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BL </t>
        </is>
      </c>
      <c r="U74" t="n">
        <v>4</v>
      </c>
      <c r="V74" t="n">
        <v>4</v>
      </c>
      <c r="W74" t="inlineStr">
        <is>
          <t>2010-02-08</t>
        </is>
      </c>
      <c r="X74" t="inlineStr">
        <is>
          <t>2010-02-08</t>
        </is>
      </c>
      <c r="Y74" t="inlineStr">
        <is>
          <t>1990-04-26</t>
        </is>
      </c>
      <c r="Z74" t="inlineStr">
        <is>
          <t>1990-04-26</t>
        </is>
      </c>
      <c r="AA74" t="n">
        <v>474</v>
      </c>
      <c r="AB74" t="n">
        <v>435</v>
      </c>
      <c r="AC74" t="n">
        <v>599</v>
      </c>
      <c r="AD74" t="n">
        <v>5</v>
      </c>
      <c r="AE74" t="n">
        <v>5</v>
      </c>
      <c r="AF74" t="n">
        <v>15</v>
      </c>
      <c r="AG74" t="n">
        <v>21</v>
      </c>
      <c r="AH74" t="n">
        <v>5</v>
      </c>
      <c r="AI74" t="n">
        <v>7</v>
      </c>
      <c r="AJ74" t="n">
        <v>3</v>
      </c>
      <c r="AK74" t="n">
        <v>4</v>
      </c>
      <c r="AL74" t="n">
        <v>6</v>
      </c>
      <c r="AM74" t="n">
        <v>10</v>
      </c>
      <c r="AN74" t="n">
        <v>4</v>
      </c>
      <c r="AO74" t="n">
        <v>4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HYPERLINK("http://catalog.hathitrust.org/Record/001394973","HathiTrust Record")</f>
        <v/>
      </c>
      <c r="AU74">
        <f>HYPERLINK("https://creighton-primo.hosted.exlibrisgroup.com/primo-explore/search?tab=default_tab&amp;search_scope=EVERYTHING&amp;vid=01CRU&amp;lang=en_US&amp;offset=0&amp;query=any,contains,991002576739702656","Catalog Record")</f>
        <v/>
      </c>
      <c r="AV74">
        <f>HYPERLINK("http://www.worldcat.org/oclc/374887","WorldCat Record")</f>
        <v/>
      </c>
      <c r="AW74" t="inlineStr">
        <is>
          <t>1461778:eng</t>
        </is>
      </c>
      <c r="AX74" t="inlineStr">
        <is>
          <t>374887</t>
        </is>
      </c>
      <c r="AY74" t="inlineStr">
        <is>
          <t>991002576739702656</t>
        </is>
      </c>
      <c r="AZ74" t="inlineStr">
        <is>
          <t>991002576739702656</t>
        </is>
      </c>
      <c r="BA74" t="inlineStr">
        <is>
          <t>2262257780002656</t>
        </is>
      </c>
      <c r="BB74" t="inlineStr">
        <is>
          <t>BOOK</t>
        </is>
      </c>
      <c r="BE74" t="inlineStr">
        <is>
          <t>32285000133750</t>
        </is>
      </c>
      <c r="BF74" t="inlineStr">
        <is>
          <t>893341593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BL240 .H64</t>
        </is>
      </c>
      <c r="E75" t="inlineStr">
        <is>
          <t>0                      BL 0240000H  64</t>
        </is>
      </c>
      <c r="F75" t="inlineStr">
        <is>
          <t>Bacon and Newman; bar God from science.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Hogan, Michael.</t>
        </is>
      </c>
      <c r="N75" t="inlineStr">
        <is>
          <t>Jersey City, N.J. : St. Peter's College Press, 1939.</t>
        </is>
      </c>
      <c r="O75" t="inlineStr">
        <is>
          <t>1939</t>
        </is>
      </c>
      <c r="Q75" t="inlineStr">
        <is>
          <t>eng</t>
        </is>
      </c>
      <c r="R75" t="inlineStr">
        <is>
          <t xml:space="preserve">xx </t>
        </is>
      </c>
      <c r="T75" t="inlineStr">
        <is>
          <t xml:space="preserve">BL </t>
        </is>
      </c>
      <c r="U75" t="n">
        <v>2</v>
      </c>
      <c r="V75" t="n">
        <v>2</v>
      </c>
      <c r="W75" t="inlineStr">
        <is>
          <t>1994-03-24</t>
        </is>
      </c>
      <c r="X75" t="inlineStr">
        <is>
          <t>1994-03-24</t>
        </is>
      </c>
      <c r="Y75" t="inlineStr">
        <is>
          <t>1990-10-04</t>
        </is>
      </c>
      <c r="Z75" t="inlineStr">
        <is>
          <t>1990-10-04</t>
        </is>
      </c>
      <c r="AA75" t="n">
        <v>30</v>
      </c>
      <c r="AB75" t="n">
        <v>30</v>
      </c>
      <c r="AC75" t="n">
        <v>31</v>
      </c>
      <c r="AD75" t="n">
        <v>1</v>
      </c>
      <c r="AE75" t="n">
        <v>1</v>
      </c>
      <c r="AF75" t="n">
        <v>11</v>
      </c>
      <c r="AG75" t="n">
        <v>11</v>
      </c>
      <c r="AH75" t="n">
        <v>3</v>
      </c>
      <c r="AI75" t="n">
        <v>3</v>
      </c>
      <c r="AJ75" t="n">
        <v>0</v>
      </c>
      <c r="AK75" t="n">
        <v>0</v>
      </c>
      <c r="AL75" t="n">
        <v>11</v>
      </c>
      <c r="AM75" t="n">
        <v>11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HYPERLINK("http://catalog.hathitrust.org/Record/101673389","HathiTrust Record")</f>
        <v/>
      </c>
      <c r="AU75">
        <f>HYPERLINK("https://creighton-primo.hosted.exlibrisgroup.com/primo-explore/search?tab=default_tab&amp;search_scope=EVERYTHING&amp;vid=01CRU&amp;lang=en_US&amp;offset=0&amp;query=any,contains,991004235039702656","Catalog Record")</f>
        <v/>
      </c>
      <c r="AV75">
        <f>HYPERLINK("http://www.worldcat.org/oclc/2762747","WorldCat Record")</f>
        <v/>
      </c>
      <c r="AW75" t="inlineStr">
        <is>
          <t>3055844938:eng</t>
        </is>
      </c>
      <c r="AX75" t="inlineStr">
        <is>
          <t>2762747</t>
        </is>
      </c>
      <c r="AY75" t="inlineStr">
        <is>
          <t>991004235039702656</t>
        </is>
      </c>
      <c r="AZ75" t="inlineStr">
        <is>
          <t>991004235039702656</t>
        </is>
      </c>
      <c r="BA75" t="inlineStr">
        <is>
          <t>2272678010002656</t>
        </is>
      </c>
      <c r="BB75" t="inlineStr">
        <is>
          <t>BOOK</t>
        </is>
      </c>
      <c r="BE75" t="inlineStr">
        <is>
          <t>32285000332477</t>
        </is>
      </c>
      <c r="BF75" t="inlineStr">
        <is>
          <t>893325106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BL240 .K55</t>
        </is>
      </c>
      <c r="E76" t="inlineStr">
        <is>
          <t>0                      BL 0240000K  55</t>
        </is>
      </c>
      <c r="F76" t="inlineStr">
        <is>
          <t>Christianity and the leaders of modern science; a contribution to the history of culture in the nineteenth century. Translated from the second German ed. by T. M. Kettle. With an introduction by Rev. T. A. Finlay.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Kneller, Karl Alois, 1857-</t>
        </is>
      </c>
      <c r="N76" t="inlineStr">
        <is>
          <t>London, St. Louis : B. Herder, 1911.</t>
        </is>
      </c>
      <c r="O76" t="inlineStr">
        <is>
          <t>1911</t>
        </is>
      </c>
      <c r="Q76" t="inlineStr">
        <is>
          <t>eng</t>
        </is>
      </c>
      <c r="R76" t="inlineStr">
        <is>
          <t xml:space="preserve">xx </t>
        </is>
      </c>
      <c r="T76" t="inlineStr">
        <is>
          <t xml:space="preserve">BL </t>
        </is>
      </c>
      <c r="U76" t="n">
        <v>5</v>
      </c>
      <c r="V76" t="n">
        <v>5</v>
      </c>
      <c r="W76" t="inlineStr">
        <is>
          <t>2010-04-12</t>
        </is>
      </c>
      <c r="X76" t="inlineStr">
        <is>
          <t>2010-04-12</t>
        </is>
      </c>
      <c r="Y76" t="inlineStr">
        <is>
          <t>1990-10-04</t>
        </is>
      </c>
      <c r="Z76" t="inlineStr">
        <is>
          <t>1990-10-04</t>
        </is>
      </c>
      <c r="AA76" t="n">
        <v>73</v>
      </c>
      <c r="AB76" t="n">
        <v>61</v>
      </c>
      <c r="AC76" t="n">
        <v>98</v>
      </c>
      <c r="AD76" t="n">
        <v>1</v>
      </c>
      <c r="AE76" t="n">
        <v>1</v>
      </c>
      <c r="AF76" t="n">
        <v>15</v>
      </c>
      <c r="AG76" t="n">
        <v>16</v>
      </c>
      <c r="AH76" t="n">
        <v>2</v>
      </c>
      <c r="AI76" t="n">
        <v>3</v>
      </c>
      <c r="AJ76" t="n">
        <v>6</v>
      </c>
      <c r="AK76" t="n">
        <v>6</v>
      </c>
      <c r="AL76" t="n">
        <v>11</v>
      </c>
      <c r="AM76" t="n">
        <v>11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Yes</t>
        </is>
      </c>
      <c r="AS76" t="inlineStr">
        <is>
          <t>No</t>
        </is>
      </c>
      <c r="AT76">
        <f>HYPERLINK("http://catalog.hathitrust.org/Record/001921994","HathiTrust Record")</f>
        <v/>
      </c>
      <c r="AU76">
        <f>HYPERLINK("https://creighton-primo.hosted.exlibrisgroup.com/primo-explore/search?tab=default_tab&amp;search_scope=EVERYTHING&amp;vid=01CRU&amp;lang=en_US&amp;offset=0&amp;query=any,contains,991004283789702656","Catalog Record")</f>
        <v/>
      </c>
      <c r="AV76">
        <f>HYPERLINK("http://www.worldcat.org/oclc/2917315","WorldCat Record")</f>
        <v/>
      </c>
      <c r="AW76" t="inlineStr">
        <is>
          <t>6589841:eng</t>
        </is>
      </c>
      <c r="AX76" t="inlineStr">
        <is>
          <t>2917315</t>
        </is>
      </c>
      <c r="AY76" t="inlineStr">
        <is>
          <t>991004283789702656</t>
        </is>
      </c>
      <c r="AZ76" t="inlineStr">
        <is>
          <t>991004283789702656</t>
        </is>
      </c>
      <c r="BA76" t="inlineStr">
        <is>
          <t>2267309960002656</t>
        </is>
      </c>
      <c r="BB76" t="inlineStr">
        <is>
          <t>BOOK</t>
        </is>
      </c>
      <c r="BE76" t="inlineStr">
        <is>
          <t>32285000332493</t>
        </is>
      </c>
      <c r="BF76" t="inlineStr">
        <is>
          <t>893693752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BL240 .L3</t>
        </is>
      </c>
      <c r="E77" t="inlineStr">
        <is>
          <t>0                      BL 0240000L  3</t>
        </is>
      </c>
      <c r="F77" t="inlineStr">
        <is>
          <t>Religion and science; papers read at the summer school of Catholic studies, held at Cambridge, July 29th to August 7th, 1939. Edited by Rev. C. Lattey.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Lattey, C. (Cuthbert), 1877-1954, editor.</t>
        </is>
      </c>
      <c r="N77" t="inlineStr">
        <is>
          <t>London, Burns, Oates, &amp; Washbourne, ltd. [1940]</t>
        </is>
      </c>
      <c r="O77" t="inlineStr">
        <is>
          <t>1940</t>
        </is>
      </c>
      <c r="Q77" t="inlineStr">
        <is>
          <t>eng</t>
        </is>
      </c>
      <c r="R77" t="inlineStr">
        <is>
          <t>enk</t>
        </is>
      </c>
      <c r="T77" t="inlineStr">
        <is>
          <t xml:space="preserve">BL </t>
        </is>
      </c>
      <c r="U77" t="n">
        <v>5</v>
      </c>
      <c r="V77" t="n">
        <v>5</v>
      </c>
      <c r="W77" t="inlineStr">
        <is>
          <t>1994-06-22</t>
        </is>
      </c>
      <c r="X77" t="inlineStr">
        <is>
          <t>1994-06-22</t>
        </is>
      </c>
      <c r="Y77" t="inlineStr">
        <is>
          <t>1990-10-04</t>
        </is>
      </c>
      <c r="Z77" t="inlineStr">
        <is>
          <t>1990-10-04</t>
        </is>
      </c>
      <c r="AA77" t="n">
        <v>66</v>
      </c>
      <c r="AB77" t="n">
        <v>46</v>
      </c>
      <c r="AC77" t="n">
        <v>46</v>
      </c>
      <c r="AD77" t="n">
        <v>1</v>
      </c>
      <c r="AE77" t="n">
        <v>1</v>
      </c>
      <c r="AF77" t="n">
        <v>11</v>
      </c>
      <c r="AG77" t="n">
        <v>11</v>
      </c>
      <c r="AH77" t="n">
        <v>2</v>
      </c>
      <c r="AI77" t="n">
        <v>2</v>
      </c>
      <c r="AJ77" t="n">
        <v>4</v>
      </c>
      <c r="AK77" t="n">
        <v>4</v>
      </c>
      <c r="AL77" t="n">
        <v>8</v>
      </c>
      <c r="AM77" t="n">
        <v>8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HYPERLINK("https://creighton-primo.hosted.exlibrisgroup.com/primo-explore/search?tab=default_tab&amp;search_scope=EVERYTHING&amp;vid=01CRU&amp;lang=en_US&amp;offset=0&amp;query=any,contains,991004548379702656","Catalog Record")</f>
        <v/>
      </c>
      <c r="AV77">
        <f>HYPERLINK("http://www.worldcat.org/oclc/3923607","WorldCat Record")</f>
        <v/>
      </c>
      <c r="AW77" t="inlineStr">
        <is>
          <t>13433841:eng</t>
        </is>
      </c>
      <c r="AX77" t="inlineStr">
        <is>
          <t>3923607</t>
        </is>
      </c>
      <c r="AY77" t="inlineStr">
        <is>
          <t>991004548379702656</t>
        </is>
      </c>
      <c r="AZ77" t="inlineStr">
        <is>
          <t>991004548379702656</t>
        </is>
      </c>
      <c r="BA77" t="inlineStr">
        <is>
          <t>2268118230002656</t>
        </is>
      </c>
      <c r="BB77" t="inlineStr">
        <is>
          <t>BOOK</t>
        </is>
      </c>
      <c r="BE77" t="inlineStr">
        <is>
          <t>32285000332501</t>
        </is>
      </c>
      <c r="BF77" t="inlineStr">
        <is>
          <t>893882587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BL240.2 .A813</t>
        </is>
      </c>
      <c r="E78" t="inlineStr">
        <is>
          <t>0                      BL 0240200A  813</t>
        </is>
      </c>
      <c r="F78" t="inlineStr">
        <is>
          <t>A God for science? Translated by Paul Barrett.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Aubert, Jean Marie, 1916-</t>
        </is>
      </c>
      <c r="N78" t="inlineStr">
        <is>
          <t>Westminster, Md., Newman Press [1967]</t>
        </is>
      </c>
      <c r="O78" t="inlineStr">
        <is>
          <t>1967</t>
        </is>
      </c>
      <c r="Q78" t="inlineStr">
        <is>
          <t>eng</t>
        </is>
      </c>
      <c r="R78" t="inlineStr">
        <is>
          <t>mdu</t>
        </is>
      </c>
      <c r="T78" t="inlineStr">
        <is>
          <t xml:space="preserve">BL </t>
        </is>
      </c>
      <c r="U78" t="n">
        <v>1</v>
      </c>
      <c r="V78" t="n">
        <v>1</v>
      </c>
      <c r="W78" t="inlineStr">
        <is>
          <t>1995-04-17</t>
        </is>
      </c>
      <c r="X78" t="inlineStr">
        <is>
          <t>1995-04-17</t>
        </is>
      </c>
      <c r="Y78" t="inlineStr">
        <is>
          <t>1990-10-05</t>
        </is>
      </c>
      <c r="Z78" t="inlineStr">
        <is>
          <t>1990-10-05</t>
        </is>
      </c>
      <c r="AA78" t="n">
        <v>163</v>
      </c>
      <c r="AB78" t="n">
        <v>138</v>
      </c>
      <c r="AC78" t="n">
        <v>139</v>
      </c>
      <c r="AD78" t="n">
        <v>1</v>
      </c>
      <c r="AE78" t="n">
        <v>1</v>
      </c>
      <c r="AF78" t="n">
        <v>15</v>
      </c>
      <c r="AG78" t="n">
        <v>15</v>
      </c>
      <c r="AH78" t="n">
        <v>3</v>
      </c>
      <c r="AI78" t="n">
        <v>3</v>
      </c>
      <c r="AJ78" t="n">
        <v>4</v>
      </c>
      <c r="AK78" t="n">
        <v>4</v>
      </c>
      <c r="AL78" t="n">
        <v>12</v>
      </c>
      <c r="AM78" t="n">
        <v>12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HYPERLINK("https://creighton-primo.hosted.exlibrisgroup.com/primo-explore/search?tab=default_tab&amp;search_scope=EVERYTHING&amp;vid=01CRU&amp;lang=en_US&amp;offset=0&amp;query=any,contains,991003958529702656","Catalog Record")</f>
        <v/>
      </c>
      <c r="AV78">
        <f>HYPERLINK("http://www.worldcat.org/oclc/1973700","WorldCat Record")</f>
        <v/>
      </c>
      <c r="AW78" t="inlineStr">
        <is>
          <t>2719696:eng</t>
        </is>
      </c>
      <c r="AX78" t="inlineStr">
        <is>
          <t>1973700</t>
        </is>
      </c>
      <c r="AY78" t="inlineStr">
        <is>
          <t>991003958529702656</t>
        </is>
      </c>
      <c r="AZ78" t="inlineStr">
        <is>
          <t>991003958529702656</t>
        </is>
      </c>
      <c r="BA78" t="inlineStr">
        <is>
          <t>2266021350002656</t>
        </is>
      </c>
      <c r="BB78" t="inlineStr">
        <is>
          <t>BOOK</t>
        </is>
      </c>
      <c r="BE78" t="inlineStr">
        <is>
          <t>32285000333269</t>
        </is>
      </c>
      <c r="BF78" t="inlineStr">
        <is>
          <t>893353133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BL240.2 .A87 1976b</t>
        </is>
      </c>
      <c r="E79" t="inlineStr">
        <is>
          <t>0                      BL 0240200A  87          1976b</t>
        </is>
      </c>
      <c r="F79" t="inlineStr">
        <is>
          <t>The relevance of natural science to theology / William H. Austin.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Austin, William H.</t>
        </is>
      </c>
      <c r="N79" t="inlineStr">
        <is>
          <t>New York : Barnes &amp; Noble Books, 1976.</t>
        </is>
      </c>
      <c r="O79" t="inlineStr">
        <is>
          <t>1976</t>
        </is>
      </c>
      <c r="Q79" t="inlineStr">
        <is>
          <t>eng</t>
        </is>
      </c>
      <c r="R79" t="inlineStr">
        <is>
          <t>nyu</t>
        </is>
      </c>
      <c r="S79" t="inlineStr">
        <is>
          <t>Library of philosophy and religion</t>
        </is>
      </c>
      <c r="T79" t="inlineStr">
        <is>
          <t xml:space="preserve">BL </t>
        </is>
      </c>
      <c r="U79" t="n">
        <v>3</v>
      </c>
      <c r="V79" t="n">
        <v>3</v>
      </c>
      <c r="W79" t="inlineStr">
        <is>
          <t>1994-11-19</t>
        </is>
      </c>
      <c r="X79" t="inlineStr">
        <is>
          <t>1994-11-19</t>
        </is>
      </c>
      <c r="Y79" t="inlineStr">
        <is>
          <t>1990-10-05</t>
        </is>
      </c>
      <c r="Z79" t="inlineStr">
        <is>
          <t>1990-10-05</t>
        </is>
      </c>
      <c r="AA79" t="n">
        <v>289</v>
      </c>
      <c r="AB79" t="n">
        <v>264</v>
      </c>
      <c r="AC79" t="n">
        <v>361</v>
      </c>
      <c r="AD79" t="n">
        <v>2</v>
      </c>
      <c r="AE79" t="n">
        <v>2</v>
      </c>
      <c r="AF79" t="n">
        <v>16</v>
      </c>
      <c r="AG79" t="n">
        <v>20</v>
      </c>
      <c r="AH79" t="n">
        <v>5</v>
      </c>
      <c r="AI79" t="n">
        <v>5</v>
      </c>
      <c r="AJ79" t="n">
        <v>5</v>
      </c>
      <c r="AK79" t="n">
        <v>7</v>
      </c>
      <c r="AL79" t="n">
        <v>11</v>
      </c>
      <c r="AM79" t="n">
        <v>13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HYPERLINK("https://creighton-primo.hosted.exlibrisgroup.com/primo-explore/search?tab=default_tab&amp;search_scope=EVERYTHING&amp;vid=01CRU&amp;lang=en_US&amp;offset=0&amp;query=any,contains,991004134549702656","Catalog Record")</f>
        <v/>
      </c>
      <c r="AV79">
        <f>HYPERLINK("http://www.worldcat.org/oclc/2481519","WorldCat Record")</f>
        <v/>
      </c>
      <c r="AW79" t="inlineStr">
        <is>
          <t>5057338:eng</t>
        </is>
      </c>
      <c r="AX79" t="inlineStr">
        <is>
          <t>2481519</t>
        </is>
      </c>
      <c r="AY79" t="inlineStr">
        <is>
          <t>991004134549702656</t>
        </is>
      </c>
      <c r="AZ79" t="inlineStr">
        <is>
          <t>991004134549702656</t>
        </is>
      </c>
      <c r="BA79" t="inlineStr">
        <is>
          <t>2263580180002656</t>
        </is>
      </c>
      <c r="BB79" t="inlineStr">
        <is>
          <t>BOOK</t>
        </is>
      </c>
      <c r="BD79" t="inlineStr">
        <is>
          <t>9780064902403</t>
        </is>
      </c>
      <c r="BE79" t="inlineStr">
        <is>
          <t>32285000333277</t>
        </is>
      </c>
      <c r="BF79" t="inlineStr">
        <is>
          <t>893512853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BL240.2 .B37 1968</t>
        </is>
      </c>
      <c r="E80" t="inlineStr">
        <is>
          <t>0                      BL 0240200B  37          1968</t>
        </is>
      </c>
      <c r="F80" t="inlineStr">
        <is>
          <t>Science and religion : new perspectives on the dialogue / edited by Ian G. Barbour.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Barbour, Ian G. compiler.</t>
        </is>
      </c>
      <c r="N80" t="inlineStr">
        <is>
          <t>New York : Harper &amp; Row, [1968]</t>
        </is>
      </c>
      <c r="O80" t="inlineStr">
        <is>
          <t>1968</t>
        </is>
      </c>
      <c r="P80" t="inlineStr">
        <is>
          <t>[1st ed.]</t>
        </is>
      </c>
      <c r="Q80" t="inlineStr">
        <is>
          <t>eng</t>
        </is>
      </c>
      <c r="R80" t="inlineStr">
        <is>
          <t>nyu</t>
        </is>
      </c>
      <c r="S80" t="inlineStr">
        <is>
          <t>Harper forum books</t>
        </is>
      </c>
      <c r="T80" t="inlineStr">
        <is>
          <t xml:space="preserve">BL </t>
        </is>
      </c>
      <c r="U80" t="n">
        <v>5</v>
      </c>
      <c r="V80" t="n">
        <v>5</v>
      </c>
      <c r="W80" t="inlineStr">
        <is>
          <t>1996-03-18</t>
        </is>
      </c>
      <c r="X80" t="inlineStr">
        <is>
          <t>1996-03-18</t>
        </is>
      </c>
      <c r="Y80" t="inlineStr">
        <is>
          <t>1990-10-05</t>
        </is>
      </c>
      <c r="Z80" t="inlineStr">
        <is>
          <t>1990-10-05</t>
        </is>
      </c>
      <c r="AA80" t="n">
        <v>602</v>
      </c>
      <c r="AB80" t="n">
        <v>542</v>
      </c>
      <c r="AC80" t="n">
        <v>578</v>
      </c>
      <c r="AD80" t="n">
        <v>5</v>
      </c>
      <c r="AE80" t="n">
        <v>5</v>
      </c>
      <c r="AF80" t="n">
        <v>31</v>
      </c>
      <c r="AG80" t="n">
        <v>34</v>
      </c>
      <c r="AH80" t="n">
        <v>16</v>
      </c>
      <c r="AI80" t="n">
        <v>17</v>
      </c>
      <c r="AJ80" t="n">
        <v>4</v>
      </c>
      <c r="AK80" t="n">
        <v>5</v>
      </c>
      <c r="AL80" t="n">
        <v>18</v>
      </c>
      <c r="AM80" t="n">
        <v>20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HYPERLINK("http://catalog.hathitrust.org/Record/001391950","HathiTrust Record")</f>
        <v/>
      </c>
      <c r="AU80">
        <f>HYPERLINK("https://creighton-primo.hosted.exlibrisgroup.com/primo-explore/search?tab=default_tab&amp;search_scope=EVERYTHING&amp;vid=01CRU&amp;lang=en_US&amp;offset=0&amp;query=any,contains,991000958319702656","Catalog Record")</f>
        <v/>
      </c>
      <c r="AV80">
        <f>HYPERLINK("http://www.worldcat.org/oclc/168521","WorldCat Record")</f>
        <v/>
      </c>
      <c r="AW80" t="inlineStr">
        <is>
          <t>3901189571:eng</t>
        </is>
      </c>
      <c r="AX80" t="inlineStr">
        <is>
          <t>168521</t>
        </is>
      </c>
      <c r="AY80" t="inlineStr">
        <is>
          <t>991000958319702656</t>
        </is>
      </c>
      <c r="AZ80" t="inlineStr">
        <is>
          <t>991000958319702656</t>
        </is>
      </c>
      <c r="BA80" t="inlineStr">
        <is>
          <t>2261917510002656</t>
        </is>
      </c>
      <c r="BB80" t="inlineStr">
        <is>
          <t>BOOK</t>
        </is>
      </c>
      <c r="BE80" t="inlineStr">
        <is>
          <t>32285000333285</t>
        </is>
      </c>
      <c r="BF80" t="inlineStr">
        <is>
          <t>893426206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BL240.2 .G47 1984</t>
        </is>
      </c>
      <c r="E81" t="inlineStr">
        <is>
          <t>0                      BL 0240200G  47          1984</t>
        </is>
      </c>
      <c r="F81" t="inlineStr">
        <is>
          <t>Metaphoric process : the creation of scientific and religious understanding / by Mary Gerhart and Allan Melvin Russell ; with a foreword by Paul Ricoeur.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Gerhart, Mary.</t>
        </is>
      </c>
      <c r="N81" t="inlineStr">
        <is>
          <t>Fort Worth : Texas Christian University Press, c1984.</t>
        </is>
      </c>
      <c r="O81" t="inlineStr">
        <is>
          <t>1984</t>
        </is>
      </c>
      <c r="Q81" t="inlineStr">
        <is>
          <t>eng</t>
        </is>
      </c>
      <c r="R81" t="inlineStr">
        <is>
          <t>txu</t>
        </is>
      </c>
      <c r="T81" t="inlineStr">
        <is>
          <t xml:space="preserve">BL </t>
        </is>
      </c>
      <c r="U81" t="n">
        <v>1</v>
      </c>
      <c r="V81" t="n">
        <v>1</v>
      </c>
      <c r="W81" t="inlineStr">
        <is>
          <t>1997-03-17</t>
        </is>
      </c>
      <c r="X81" t="inlineStr">
        <is>
          <t>1997-03-17</t>
        </is>
      </c>
      <c r="Y81" t="inlineStr">
        <is>
          <t>1991-09-03</t>
        </is>
      </c>
      <c r="Z81" t="inlineStr">
        <is>
          <t>1991-09-03</t>
        </is>
      </c>
      <c r="AA81" t="n">
        <v>550</v>
      </c>
      <c r="AB81" t="n">
        <v>483</v>
      </c>
      <c r="AC81" t="n">
        <v>486</v>
      </c>
      <c r="AD81" t="n">
        <v>5</v>
      </c>
      <c r="AE81" t="n">
        <v>5</v>
      </c>
      <c r="AF81" t="n">
        <v>29</v>
      </c>
      <c r="AG81" t="n">
        <v>29</v>
      </c>
      <c r="AH81" t="n">
        <v>8</v>
      </c>
      <c r="AI81" t="n">
        <v>8</v>
      </c>
      <c r="AJ81" t="n">
        <v>6</v>
      </c>
      <c r="AK81" t="n">
        <v>6</v>
      </c>
      <c r="AL81" t="n">
        <v>17</v>
      </c>
      <c r="AM81" t="n">
        <v>17</v>
      </c>
      <c r="AN81" t="n">
        <v>4</v>
      </c>
      <c r="AO81" t="n">
        <v>4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HYPERLINK("http://catalog.hathitrust.org/Record/000780522","HathiTrust Record")</f>
        <v/>
      </c>
      <c r="AU81">
        <f>HYPERLINK("https://creighton-primo.hosted.exlibrisgroup.com/primo-explore/search?tab=default_tab&amp;search_scope=EVERYTHING&amp;vid=01CRU&amp;lang=en_US&amp;offset=0&amp;query=any,contains,991000273899702656","Catalog Record")</f>
        <v/>
      </c>
      <c r="AV81">
        <f>HYPERLINK("http://www.worldcat.org/oclc/9893505","WorldCat Record")</f>
        <v/>
      </c>
      <c r="AW81" t="inlineStr">
        <is>
          <t>35005816:eng</t>
        </is>
      </c>
      <c r="AX81" t="inlineStr">
        <is>
          <t>9893505</t>
        </is>
      </c>
      <c r="AY81" t="inlineStr">
        <is>
          <t>991000273899702656</t>
        </is>
      </c>
      <c r="AZ81" t="inlineStr">
        <is>
          <t>991000273899702656</t>
        </is>
      </c>
      <c r="BA81" t="inlineStr">
        <is>
          <t>2265840860002656</t>
        </is>
      </c>
      <c r="BB81" t="inlineStr">
        <is>
          <t>BOOK</t>
        </is>
      </c>
      <c r="BD81" t="inlineStr">
        <is>
          <t>9780912646824</t>
        </is>
      </c>
      <c r="BE81" t="inlineStr">
        <is>
          <t>32285000734318</t>
        </is>
      </c>
      <c r="BF81" t="inlineStr">
        <is>
          <t>893689590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BL240.2 .G54 1970</t>
        </is>
      </c>
      <c r="E82" t="inlineStr">
        <is>
          <t>0                      BL 0240200G  54          1970</t>
        </is>
      </c>
      <c r="F82" t="inlineStr">
        <is>
          <t>Religion and the scientific future; reflections on myth, science, and theology, by Langdon Gilkey.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Gilkey, Langdon, 1919-2004.</t>
        </is>
      </c>
      <c r="N82" t="inlineStr">
        <is>
          <t>New York, Harper &amp; Row [1970]</t>
        </is>
      </c>
      <c r="O82" t="inlineStr">
        <is>
          <t>1970</t>
        </is>
      </c>
      <c r="P82" t="inlineStr">
        <is>
          <t>[1st ed.]</t>
        </is>
      </c>
      <c r="Q82" t="inlineStr">
        <is>
          <t>eng</t>
        </is>
      </c>
      <c r="R82" t="inlineStr">
        <is>
          <t>nyu</t>
        </is>
      </c>
      <c r="S82" t="inlineStr">
        <is>
          <t>The Deems lectures, 1967</t>
        </is>
      </c>
      <c r="T82" t="inlineStr">
        <is>
          <t xml:space="preserve">BL </t>
        </is>
      </c>
      <c r="U82" t="n">
        <v>2</v>
      </c>
      <c r="V82" t="n">
        <v>2</v>
      </c>
      <c r="W82" t="inlineStr">
        <is>
          <t>1994-06-22</t>
        </is>
      </c>
      <c r="X82" t="inlineStr">
        <is>
          <t>1994-06-22</t>
        </is>
      </c>
      <c r="Y82" t="inlineStr">
        <is>
          <t>1990-10-05</t>
        </is>
      </c>
      <c r="Z82" t="inlineStr">
        <is>
          <t>1990-10-05</t>
        </is>
      </c>
      <c r="AA82" t="n">
        <v>723</v>
      </c>
      <c r="AB82" t="n">
        <v>650</v>
      </c>
      <c r="AC82" t="n">
        <v>726</v>
      </c>
      <c r="AD82" t="n">
        <v>5</v>
      </c>
      <c r="AE82" t="n">
        <v>6</v>
      </c>
      <c r="AF82" t="n">
        <v>37</v>
      </c>
      <c r="AG82" t="n">
        <v>40</v>
      </c>
      <c r="AH82" t="n">
        <v>14</v>
      </c>
      <c r="AI82" t="n">
        <v>15</v>
      </c>
      <c r="AJ82" t="n">
        <v>7</v>
      </c>
      <c r="AK82" t="n">
        <v>8</v>
      </c>
      <c r="AL82" t="n">
        <v>21</v>
      </c>
      <c r="AM82" t="n">
        <v>21</v>
      </c>
      <c r="AN82" t="n">
        <v>3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HYPERLINK("http://catalog.hathitrust.org/Record/001391956","HathiTrust Record")</f>
        <v/>
      </c>
      <c r="AU82">
        <f>HYPERLINK("https://creighton-primo.hosted.exlibrisgroup.com/primo-explore/search?tab=default_tab&amp;search_scope=EVERYTHING&amp;vid=01CRU&amp;lang=en_US&amp;offset=0&amp;query=any,contains,991000453599702656","Catalog Record")</f>
        <v/>
      </c>
      <c r="AV82">
        <f>HYPERLINK("http://www.worldcat.org/oclc/77193","WorldCat Record")</f>
        <v/>
      </c>
      <c r="AW82" t="inlineStr">
        <is>
          <t>905954206:eng</t>
        </is>
      </c>
      <c r="AX82" t="inlineStr">
        <is>
          <t>77193</t>
        </is>
      </c>
      <c r="AY82" t="inlineStr">
        <is>
          <t>991000453599702656</t>
        </is>
      </c>
      <c r="AZ82" t="inlineStr">
        <is>
          <t>991000453599702656</t>
        </is>
      </c>
      <c r="BA82" t="inlineStr">
        <is>
          <t>2256769550002656</t>
        </is>
      </c>
      <c r="BB82" t="inlineStr">
        <is>
          <t>BOOK</t>
        </is>
      </c>
      <c r="BE82" t="inlineStr">
        <is>
          <t>32285000333301</t>
        </is>
      </c>
      <c r="BF82" t="inlineStr">
        <is>
          <t>893890691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BL240.2 .H45 1986</t>
        </is>
      </c>
      <c r="E83" t="inlineStr">
        <is>
          <t>0                      BL 0240200H  45          1986</t>
        </is>
      </c>
      <c r="F83" t="inlineStr">
        <is>
          <t>God and science : the death and rebirth of theism / Charles P. Henderson, Jr.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Henderson, Charles P.</t>
        </is>
      </c>
      <c r="N83" t="inlineStr">
        <is>
          <t>Atlanta : J. Knox Press, c1986.</t>
        </is>
      </c>
      <c r="O83" t="inlineStr">
        <is>
          <t>1986</t>
        </is>
      </c>
      <c r="Q83" t="inlineStr">
        <is>
          <t>eng</t>
        </is>
      </c>
      <c r="R83" t="inlineStr">
        <is>
          <t>gau</t>
        </is>
      </c>
      <c r="T83" t="inlineStr">
        <is>
          <t xml:space="preserve">BL </t>
        </is>
      </c>
      <c r="U83" t="n">
        <v>2</v>
      </c>
      <c r="V83" t="n">
        <v>2</v>
      </c>
      <c r="W83" t="inlineStr">
        <is>
          <t>2004-10-21</t>
        </is>
      </c>
      <c r="X83" t="inlineStr">
        <is>
          <t>2004-10-21</t>
        </is>
      </c>
      <c r="Y83" t="inlineStr">
        <is>
          <t>2004-10-21</t>
        </is>
      </c>
      <c r="Z83" t="inlineStr">
        <is>
          <t>2004-10-21</t>
        </is>
      </c>
      <c r="AA83" t="n">
        <v>500</v>
      </c>
      <c r="AB83" t="n">
        <v>442</v>
      </c>
      <c r="AC83" t="n">
        <v>448</v>
      </c>
      <c r="AD83" t="n">
        <v>5</v>
      </c>
      <c r="AE83" t="n">
        <v>5</v>
      </c>
      <c r="AF83" t="n">
        <v>25</v>
      </c>
      <c r="AG83" t="n">
        <v>25</v>
      </c>
      <c r="AH83" t="n">
        <v>11</v>
      </c>
      <c r="AI83" t="n">
        <v>11</v>
      </c>
      <c r="AJ83" t="n">
        <v>3</v>
      </c>
      <c r="AK83" t="n">
        <v>3</v>
      </c>
      <c r="AL83" t="n">
        <v>17</v>
      </c>
      <c r="AM83" t="n">
        <v>17</v>
      </c>
      <c r="AN83" t="n">
        <v>3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HYPERLINK("http://catalog.hathitrust.org/Record/000539366","HathiTrust Record")</f>
        <v/>
      </c>
      <c r="AU83">
        <f>HYPERLINK("https://creighton-primo.hosted.exlibrisgroup.com/primo-explore/search?tab=default_tab&amp;search_scope=EVERYTHING&amp;vid=01CRU&amp;lang=en_US&amp;offset=0&amp;query=any,contains,991004399879702656","Catalog Record")</f>
        <v/>
      </c>
      <c r="AV83">
        <f>HYPERLINK("http://www.worldcat.org/oclc/12668138","WorldCat Record")</f>
        <v/>
      </c>
      <c r="AW83" t="inlineStr">
        <is>
          <t>365679408:eng</t>
        </is>
      </c>
      <c r="AX83" t="inlineStr">
        <is>
          <t>12668138</t>
        </is>
      </c>
      <c r="AY83" t="inlineStr">
        <is>
          <t>991004399879702656</t>
        </is>
      </c>
      <c r="AZ83" t="inlineStr">
        <is>
          <t>991004399879702656</t>
        </is>
      </c>
      <c r="BA83" t="inlineStr">
        <is>
          <t>2266488780002656</t>
        </is>
      </c>
      <c r="BB83" t="inlineStr">
        <is>
          <t>BOOK</t>
        </is>
      </c>
      <c r="BD83" t="inlineStr">
        <is>
          <t>9780804206686</t>
        </is>
      </c>
      <c r="BE83" t="inlineStr">
        <is>
          <t>32285005005896</t>
        </is>
      </c>
      <c r="BF83" t="inlineStr">
        <is>
          <t>893624682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BL240.2 .J55</t>
        </is>
      </c>
      <c r="E84" t="inlineStr">
        <is>
          <t>0                      BL 0240200J  55</t>
        </is>
      </c>
      <c r="F84" t="inlineStr">
        <is>
          <t>Critical issues in modern religion [by] Roger A. Johnson and Ernest Wallwork, with Clifford Green, H. Paul Santmire [and] Harold Y. Vanderpool.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Johnson, Roger A., 1930-</t>
        </is>
      </c>
      <c r="N84" t="inlineStr">
        <is>
          <t>Englewood Cliffs, N.J., Prentice-Hall [1973]</t>
        </is>
      </c>
      <c r="O84" t="inlineStr">
        <is>
          <t>1973</t>
        </is>
      </c>
      <c r="Q84" t="inlineStr">
        <is>
          <t>eng</t>
        </is>
      </c>
      <c r="R84" t="inlineStr">
        <is>
          <t>nju</t>
        </is>
      </c>
      <c r="T84" t="inlineStr">
        <is>
          <t xml:space="preserve">BL </t>
        </is>
      </c>
      <c r="U84" t="n">
        <v>4</v>
      </c>
      <c r="V84" t="n">
        <v>4</v>
      </c>
      <c r="W84" t="inlineStr">
        <is>
          <t>1997-10-09</t>
        </is>
      </c>
      <c r="X84" t="inlineStr">
        <is>
          <t>1997-10-09</t>
        </is>
      </c>
      <c r="Y84" t="inlineStr">
        <is>
          <t>1990-10-05</t>
        </is>
      </c>
      <c r="Z84" t="inlineStr">
        <is>
          <t>1990-10-05</t>
        </is>
      </c>
      <c r="AA84" t="n">
        <v>510</v>
      </c>
      <c r="AB84" t="n">
        <v>426</v>
      </c>
      <c r="AC84" t="n">
        <v>532</v>
      </c>
      <c r="AD84" t="n">
        <v>4</v>
      </c>
      <c r="AE84" t="n">
        <v>6</v>
      </c>
      <c r="AF84" t="n">
        <v>27</v>
      </c>
      <c r="AG84" t="n">
        <v>34</v>
      </c>
      <c r="AH84" t="n">
        <v>8</v>
      </c>
      <c r="AI84" t="n">
        <v>12</v>
      </c>
      <c r="AJ84" t="n">
        <v>6</v>
      </c>
      <c r="AK84" t="n">
        <v>6</v>
      </c>
      <c r="AL84" t="n">
        <v>15</v>
      </c>
      <c r="AM84" t="n">
        <v>19</v>
      </c>
      <c r="AN84" t="n">
        <v>3</v>
      </c>
      <c r="AO84" t="n">
        <v>5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HYPERLINK("http://catalog.hathitrust.org/Record/009492925","HathiTrust Record")</f>
        <v/>
      </c>
      <c r="AU84">
        <f>HYPERLINK("https://creighton-primo.hosted.exlibrisgroup.com/primo-explore/search?tab=default_tab&amp;search_scope=EVERYTHING&amp;vid=01CRU&amp;lang=en_US&amp;offset=0&amp;query=any,contains,991002864879702656","Catalog Record")</f>
        <v/>
      </c>
      <c r="AV84">
        <f>HYPERLINK("http://www.worldcat.org/oclc/495219","WorldCat Record")</f>
        <v/>
      </c>
      <c r="AW84" t="inlineStr">
        <is>
          <t>1589126:eng</t>
        </is>
      </c>
      <c r="AX84" t="inlineStr">
        <is>
          <t>495219</t>
        </is>
      </c>
      <c r="AY84" t="inlineStr">
        <is>
          <t>991002864879702656</t>
        </is>
      </c>
      <c r="AZ84" t="inlineStr">
        <is>
          <t>991002864879702656</t>
        </is>
      </c>
      <c r="BA84" t="inlineStr">
        <is>
          <t>2255539330002656</t>
        </is>
      </c>
      <c r="BB84" t="inlineStr">
        <is>
          <t>BOOK</t>
        </is>
      </c>
      <c r="BD84" t="inlineStr">
        <is>
          <t>9780131939875</t>
        </is>
      </c>
      <c r="BE84" t="inlineStr">
        <is>
          <t>32285000333327</t>
        </is>
      </c>
      <c r="BF84" t="inlineStr">
        <is>
          <t>893786659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BL240.2 .M5</t>
        </is>
      </c>
      <c r="E85" t="inlineStr">
        <is>
          <t>0                      BL 0240200M  5</t>
        </is>
      </c>
      <c r="F85" t="inlineStr">
        <is>
          <t>Religion and the scientific outlook.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Miles, T. R. (Thomas Richard)</t>
        </is>
      </c>
      <c r="N85" t="inlineStr">
        <is>
          <t>London, Allen &amp; Unwin [1959]</t>
        </is>
      </c>
      <c r="O85" t="inlineStr">
        <is>
          <t>1959</t>
        </is>
      </c>
      <c r="Q85" t="inlineStr">
        <is>
          <t>eng</t>
        </is>
      </c>
      <c r="R85" t="inlineStr">
        <is>
          <t>___</t>
        </is>
      </c>
      <c r="T85" t="inlineStr">
        <is>
          <t xml:space="preserve">BL </t>
        </is>
      </c>
      <c r="U85" t="n">
        <v>4</v>
      </c>
      <c r="V85" t="n">
        <v>4</v>
      </c>
      <c r="W85" t="inlineStr">
        <is>
          <t>2001-10-23</t>
        </is>
      </c>
      <c r="X85" t="inlineStr">
        <is>
          <t>2001-10-23</t>
        </is>
      </c>
      <c r="Y85" t="inlineStr">
        <is>
          <t>1990-10-05</t>
        </is>
      </c>
      <c r="Z85" t="inlineStr">
        <is>
          <t>1990-10-05</t>
        </is>
      </c>
      <c r="AA85" t="n">
        <v>394</v>
      </c>
      <c r="AB85" t="n">
        <v>290</v>
      </c>
      <c r="AC85" t="n">
        <v>292</v>
      </c>
      <c r="AD85" t="n">
        <v>2</v>
      </c>
      <c r="AE85" t="n">
        <v>2</v>
      </c>
      <c r="AF85" t="n">
        <v>16</v>
      </c>
      <c r="AG85" t="n">
        <v>16</v>
      </c>
      <c r="AH85" t="n">
        <v>6</v>
      </c>
      <c r="AI85" t="n">
        <v>6</v>
      </c>
      <c r="AJ85" t="n">
        <v>3</v>
      </c>
      <c r="AK85" t="n">
        <v>3</v>
      </c>
      <c r="AL85" t="n">
        <v>9</v>
      </c>
      <c r="AM85" t="n">
        <v>9</v>
      </c>
      <c r="AN85" t="n">
        <v>1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HYPERLINK("http://catalog.hathitrust.org/Record/006756435","HathiTrust Record")</f>
        <v/>
      </c>
      <c r="AU85">
        <f>HYPERLINK("https://creighton-primo.hosted.exlibrisgroup.com/primo-explore/search?tab=default_tab&amp;search_scope=EVERYTHING&amp;vid=01CRU&amp;lang=en_US&amp;offset=0&amp;query=any,contains,991003104929702656","Catalog Record")</f>
        <v/>
      </c>
      <c r="AV85">
        <f>HYPERLINK("http://www.worldcat.org/oclc/653532","WorldCat Record")</f>
        <v/>
      </c>
      <c r="AW85" t="inlineStr">
        <is>
          <t>1611007:eng</t>
        </is>
      </c>
      <c r="AX85" t="inlineStr">
        <is>
          <t>653532</t>
        </is>
      </c>
      <c r="AY85" t="inlineStr">
        <is>
          <t>991003104929702656</t>
        </is>
      </c>
      <c r="AZ85" t="inlineStr">
        <is>
          <t>991003104929702656</t>
        </is>
      </c>
      <c r="BA85" t="inlineStr">
        <is>
          <t>2264148320002656</t>
        </is>
      </c>
      <c r="BB85" t="inlineStr">
        <is>
          <t>BOOK</t>
        </is>
      </c>
      <c r="BE85" t="inlineStr">
        <is>
          <t>32285000333335</t>
        </is>
      </c>
      <c r="BF85" t="inlineStr">
        <is>
          <t>893809832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BL240.2 .M645 1989</t>
        </is>
      </c>
      <c r="E86" t="inlineStr">
        <is>
          <t>0                      BL 0240200M  645         1989</t>
        </is>
      </c>
      <c r="F86" t="inlineStr">
        <is>
          <t>Christianity and the nature of science / J.P. Moreland.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Moreland, James Porter, 1948-</t>
        </is>
      </c>
      <c r="N86" t="inlineStr">
        <is>
          <t>Grand Rapids, Mich. : Baker Book House, c1989.</t>
        </is>
      </c>
      <c r="O86" t="inlineStr">
        <is>
          <t>1989</t>
        </is>
      </c>
      <c r="Q86" t="inlineStr">
        <is>
          <t>eng</t>
        </is>
      </c>
      <c r="R86" t="inlineStr">
        <is>
          <t>miu</t>
        </is>
      </c>
      <c r="T86" t="inlineStr">
        <is>
          <t xml:space="preserve">BL </t>
        </is>
      </c>
      <c r="U86" t="n">
        <v>1</v>
      </c>
      <c r="V86" t="n">
        <v>1</v>
      </c>
      <c r="W86" t="inlineStr">
        <is>
          <t>2008-12-11</t>
        </is>
      </c>
      <c r="X86" t="inlineStr">
        <is>
          <t>2008-12-11</t>
        </is>
      </c>
      <c r="Y86" t="inlineStr">
        <is>
          <t>2008-12-11</t>
        </is>
      </c>
      <c r="Z86" t="inlineStr">
        <is>
          <t>2008-12-11</t>
        </is>
      </c>
      <c r="AA86" t="n">
        <v>264</v>
      </c>
      <c r="AB86" t="n">
        <v>231</v>
      </c>
      <c r="AC86" t="n">
        <v>289</v>
      </c>
      <c r="AD86" t="n">
        <v>3</v>
      </c>
      <c r="AE86" t="n">
        <v>4</v>
      </c>
      <c r="AF86" t="n">
        <v>6</v>
      </c>
      <c r="AG86" t="n">
        <v>9</v>
      </c>
      <c r="AH86" t="n">
        <v>3</v>
      </c>
      <c r="AI86" t="n">
        <v>4</v>
      </c>
      <c r="AJ86" t="n">
        <v>0</v>
      </c>
      <c r="AK86" t="n">
        <v>2</v>
      </c>
      <c r="AL86" t="n">
        <v>3</v>
      </c>
      <c r="AM86" t="n">
        <v>4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HYPERLINK("https://creighton-primo.hosted.exlibrisgroup.com/primo-explore/search?tab=default_tab&amp;search_scope=EVERYTHING&amp;vid=01CRU&amp;lang=en_US&amp;offset=0&amp;query=any,contains,991005283159702656","Catalog Record")</f>
        <v/>
      </c>
      <c r="AV86">
        <f>HYPERLINK("http://www.worldcat.org/oclc/19556070","WorldCat Record")</f>
        <v/>
      </c>
      <c r="AW86" t="inlineStr">
        <is>
          <t>12882562:eng</t>
        </is>
      </c>
      <c r="AX86" t="inlineStr">
        <is>
          <t>19556070</t>
        </is>
      </c>
      <c r="AY86" t="inlineStr">
        <is>
          <t>991005283159702656</t>
        </is>
      </c>
      <c r="AZ86" t="inlineStr">
        <is>
          <t>991005283159702656</t>
        </is>
      </c>
      <c r="BA86" t="inlineStr">
        <is>
          <t>2271087250002656</t>
        </is>
      </c>
      <c r="BB86" t="inlineStr">
        <is>
          <t>BOOK</t>
        </is>
      </c>
      <c r="BD86" t="inlineStr">
        <is>
          <t>9780801062490</t>
        </is>
      </c>
      <c r="BE86" t="inlineStr">
        <is>
          <t>32285005472930</t>
        </is>
      </c>
      <c r="BF86" t="inlineStr">
        <is>
          <t>893248652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BL240.2 .N42 1985</t>
        </is>
      </c>
      <c r="E87" t="inlineStr">
        <is>
          <t>0                      BL 0240200N  42          1985</t>
        </is>
      </c>
      <c r="F87" t="inlineStr">
        <is>
          <t>Circles of God : theology and science from the Greeks to Copernicus / Harold P. Nebelsick.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Nebelsick, Harold P., 1925-</t>
        </is>
      </c>
      <c r="N87" t="inlineStr">
        <is>
          <t>Edinburgh : Scottish Academic Press, 1985.</t>
        </is>
      </c>
      <c r="O87" t="inlineStr">
        <is>
          <t>1985</t>
        </is>
      </c>
      <c r="Q87" t="inlineStr">
        <is>
          <t>eng</t>
        </is>
      </c>
      <c r="R87" t="inlineStr">
        <is>
          <t>stk</t>
        </is>
      </c>
      <c r="S87" t="inlineStr">
        <is>
          <t>Theology and science at the frontiers of knowledge ; no. 2</t>
        </is>
      </c>
      <c r="T87" t="inlineStr">
        <is>
          <t xml:space="preserve">BL </t>
        </is>
      </c>
      <c r="U87" t="n">
        <v>1</v>
      </c>
      <c r="V87" t="n">
        <v>1</v>
      </c>
      <c r="W87" t="inlineStr">
        <is>
          <t>2006-02-19</t>
        </is>
      </c>
      <c r="X87" t="inlineStr">
        <is>
          <t>2006-02-19</t>
        </is>
      </c>
      <c r="Y87" t="inlineStr">
        <is>
          <t>1993-11-09</t>
        </is>
      </c>
      <c r="Z87" t="inlineStr">
        <is>
          <t>1993-11-09</t>
        </is>
      </c>
      <c r="AA87" t="n">
        <v>269</v>
      </c>
      <c r="AB87" t="n">
        <v>185</v>
      </c>
      <c r="AC87" t="n">
        <v>186</v>
      </c>
      <c r="AD87" t="n">
        <v>4</v>
      </c>
      <c r="AE87" t="n">
        <v>4</v>
      </c>
      <c r="AF87" t="n">
        <v>7</v>
      </c>
      <c r="AG87" t="n">
        <v>7</v>
      </c>
      <c r="AH87" t="n">
        <v>0</v>
      </c>
      <c r="AI87" t="n">
        <v>0</v>
      </c>
      <c r="AJ87" t="n">
        <v>1</v>
      </c>
      <c r="AK87" t="n">
        <v>1</v>
      </c>
      <c r="AL87" t="n">
        <v>4</v>
      </c>
      <c r="AM87" t="n">
        <v>4</v>
      </c>
      <c r="AN87" t="n">
        <v>3</v>
      </c>
      <c r="AO87" t="n">
        <v>3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HYPERLINK("http://catalog.hathitrust.org/Record/000437390","HathiTrust Record")</f>
        <v/>
      </c>
      <c r="AU87">
        <f>HYPERLINK("https://creighton-primo.hosted.exlibrisgroup.com/primo-explore/search?tab=default_tab&amp;search_scope=EVERYTHING&amp;vid=01CRU&amp;lang=en_US&amp;offset=0&amp;query=any,contains,991000862989702656","Catalog Record")</f>
        <v/>
      </c>
      <c r="AV87">
        <f>HYPERLINK("http://www.worldcat.org/oclc/13701181","WorldCat Record")</f>
        <v/>
      </c>
      <c r="AW87" t="inlineStr">
        <is>
          <t>807543889:eng</t>
        </is>
      </c>
      <c r="AX87" t="inlineStr">
        <is>
          <t>13701181</t>
        </is>
      </c>
      <c r="AY87" t="inlineStr">
        <is>
          <t>991000862989702656</t>
        </is>
      </c>
      <c r="AZ87" t="inlineStr">
        <is>
          <t>991000862989702656</t>
        </is>
      </c>
      <c r="BA87" t="inlineStr">
        <is>
          <t>2262469990002656</t>
        </is>
      </c>
      <c r="BB87" t="inlineStr">
        <is>
          <t>BOOK</t>
        </is>
      </c>
      <c r="BD87" t="inlineStr">
        <is>
          <t>9780707304489</t>
        </is>
      </c>
      <c r="BE87" t="inlineStr">
        <is>
          <t>32285001810661</t>
        </is>
      </c>
      <c r="BF87" t="inlineStr">
        <is>
          <t>893790925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BL240.2 .N44 1980</t>
        </is>
      </c>
      <c r="E88" t="inlineStr">
        <is>
          <t>0                      BL 0240200N  44          1980</t>
        </is>
      </c>
      <c r="F88" t="inlineStr">
        <is>
          <t>Science and our troubled conscience / J. Robert Nelson.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Nelson, J. Robert (John Robert), 1920-</t>
        </is>
      </c>
      <c r="N88" t="inlineStr">
        <is>
          <t>Philadelphia : Fortress Press, c1980.</t>
        </is>
      </c>
      <c r="O88" t="inlineStr">
        <is>
          <t>1980</t>
        </is>
      </c>
      <c r="Q88" t="inlineStr">
        <is>
          <t>eng</t>
        </is>
      </c>
      <c r="R88" t="inlineStr">
        <is>
          <t>pau</t>
        </is>
      </c>
      <c r="T88" t="inlineStr">
        <is>
          <t xml:space="preserve">BL </t>
        </is>
      </c>
      <c r="U88" t="n">
        <v>1</v>
      </c>
      <c r="V88" t="n">
        <v>1</v>
      </c>
      <c r="W88" t="inlineStr">
        <is>
          <t>1995-04-17</t>
        </is>
      </c>
      <c r="X88" t="inlineStr">
        <is>
          <t>1995-04-17</t>
        </is>
      </c>
      <c r="Y88" t="inlineStr">
        <is>
          <t>1990-10-05</t>
        </is>
      </c>
      <c r="Z88" t="inlineStr">
        <is>
          <t>1990-10-05</t>
        </is>
      </c>
      <c r="AA88" t="n">
        <v>440</v>
      </c>
      <c r="AB88" t="n">
        <v>394</v>
      </c>
      <c r="AC88" t="n">
        <v>396</v>
      </c>
      <c r="AD88" t="n">
        <v>3</v>
      </c>
      <c r="AE88" t="n">
        <v>3</v>
      </c>
      <c r="AF88" t="n">
        <v>20</v>
      </c>
      <c r="AG88" t="n">
        <v>20</v>
      </c>
      <c r="AH88" t="n">
        <v>4</v>
      </c>
      <c r="AI88" t="n">
        <v>4</v>
      </c>
      <c r="AJ88" t="n">
        <v>4</v>
      </c>
      <c r="AK88" t="n">
        <v>4</v>
      </c>
      <c r="AL88" t="n">
        <v>14</v>
      </c>
      <c r="AM88" t="n">
        <v>14</v>
      </c>
      <c r="AN88" t="n">
        <v>2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HYPERLINK("http://catalog.hathitrust.org/Record/008010775","HathiTrust Record")</f>
        <v/>
      </c>
      <c r="AU88">
        <f>HYPERLINK("https://creighton-primo.hosted.exlibrisgroup.com/primo-explore/search?tab=default_tab&amp;search_scope=EVERYTHING&amp;vid=01CRU&amp;lang=en_US&amp;offset=0&amp;query=any,contains,991004986039702656","Catalog Record")</f>
        <v/>
      </c>
      <c r="AV88">
        <f>HYPERLINK("http://www.worldcat.org/oclc/6448359","WorldCat Record")</f>
        <v/>
      </c>
      <c r="AW88" t="inlineStr">
        <is>
          <t>22636492:eng</t>
        </is>
      </c>
      <c r="AX88" t="inlineStr">
        <is>
          <t>6448359</t>
        </is>
      </c>
      <c r="AY88" t="inlineStr">
        <is>
          <t>991004986039702656</t>
        </is>
      </c>
      <c r="AZ88" t="inlineStr">
        <is>
          <t>991004986039702656</t>
        </is>
      </c>
      <c r="BA88" t="inlineStr">
        <is>
          <t>2269768780002656</t>
        </is>
      </c>
      <c r="BB88" t="inlineStr">
        <is>
          <t>BOOK</t>
        </is>
      </c>
      <c r="BD88" t="inlineStr">
        <is>
          <t>9780800613983</t>
        </is>
      </c>
      <c r="BE88" t="inlineStr">
        <is>
          <t>32285000333350</t>
        </is>
      </c>
      <c r="BF88" t="inlineStr">
        <is>
          <t>893776656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BL240.2 .S32 1985</t>
        </is>
      </c>
      <c r="E89" t="inlineStr">
        <is>
          <t>0                      BL 0240200S  32          1985</t>
        </is>
      </c>
      <c r="F89" t="inlineStr">
        <is>
          <t>Religious explanations : a model from the sciences / Edward L. Schoen.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Schoen, Edward L., 1949-</t>
        </is>
      </c>
      <c r="N89" t="inlineStr">
        <is>
          <t>Durham [N.C.] : Duke University Press, c1985.</t>
        </is>
      </c>
      <c r="O89" t="inlineStr">
        <is>
          <t>1985</t>
        </is>
      </c>
      <c r="Q89" t="inlineStr">
        <is>
          <t>eng</t>
        </is>
      </c>
      <c r="R89" t="inlineStr">
        <is>
          <t>ncu</t>
        </is>
      </c>
      <c r="T89" t="inlineStr">
        <is>
          <t xml:space="preserve">BL </t>
        </is>
      </c>
      <c r="U89" t="n">
        <v>2</v>
      </c>
      <c r="V89" t="n">
        <v>2</v>
      </c>
      <c r="W89" t="inlineStr">
        <is>
          <t>1994-03-24</t>
        </is>
      </c>
      <c r="X89" t="inlineStr">
        <is>
          <t>1994-03-24</t>
        </is>
      </c>
      <c r="Y89" t="inlineStr">
        <is>
          <t>1990-10-05</t>
        </is>
      </c>
      <c r="Z89" t="inlineStr">
        <is>
          <t>1990-10-05</t>
        </is>
      </c>
      <c r="AA89" t="n">
        <v>422</v>
      </c>
      <c r="AB89" t="n">
        <v>372</v>
      </c>
      <c r="AC89" t="n">
        <v>378</v>
      </c>
      <c r="AD89" t="n">
        <v>2</v>
      </c>
      <c r="AE89" t="n">
        <v>2</v>
      </c>
      <c r="AF89" t="n">
        <v>17</v>
      </c>
      <c r="AG89" t="n">
        <v>17</v>
      </c>
      <c r="AH89" t="n">
        <v>5</v>
      </c>
      <c r="AI89" t="n">
        <v>5</v>
      </c>
      <c r="AJ89" t="n">
        <v>5</v>
      </c>
      <c r="AK89" t="n">
        <v>5</v>
      </c>
      <c r="AL89" t="n">
        <v>12</v>
      </c>
      <c r="AM89" t="n">
        <v>12</v>
      </c>
      <c r="AN89" t="n">
        <v>1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HYPERLINK("http://catalog.hathitrust.org/Record/000607087","HathiTrust Record")</f>
        <v/>
      </c>
      <c r="AU89">
        <f>HYPERLINK("https://creighton-primo.hosted.exlibrisgroup.com/primo-explore/search?tab=default_tab&amp;search_scope=EVERYTHING&amp;vid=01CRU&amp;lang=en_US&amp;offset=0&amp;query=any,contains,991000523169702656","Catalog Record")</f>
        <v/>
      </c>
      <c r="AV89">
        <f>HYPERLINK("http://www.worldcat.org/oclc/11346332","WorldCat Record")</f>
        <v/>
      </c>
      <c r="AW89" t="inlineStr">
        <is>
          <t>4207718:eng</t>
        </is>
      </c>
      <c r="AX89" t="inlineStr">
        <is>
          <t>11346332</t>
        </is>
      </c>
      <c r="AY89" t="inlineStr">
        <is>
          <t>991000523169702656</t>
        </is>
      </c>
      <c r="AZ89" t="inlineStr">
        <is>
          <t>991000523169702656</t>
        </is>
      </c>
      <c r="BA89" t="inlineStr">
        <is>
          <t>2262864310002656</t>
        </is>
      </c>
      <c r="BB89" t="inlineStr">
        <is>
          <t>BOOK</t>
        </is>
      </c>
      <c r="BD89" t="inlineStr">
        <is>
          <t>9780822306160</t>
        </is>
      </c>
      <c r="BE89" t="inlineStr">
        <is>
          <t>32285000333434</t>
        </is>
      </c>
      <c r="BF89" t="inlineStr">
        <is>
          <t>893589517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BL240.2 .S56</t>
        </is>
      </c>
      <c r="E90" t="inlineStr">
        <is>
          <t>0                      BL 0240200S  56</t>
        </is>
      </c>
      <c r="F90" t="inlineStr">
        <is>
          <t>Believing and knowing: the meaning of truth in Biblical religion and in science [by] Emerson W. Shideler.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Shideler, Emerson W. (Emerson Wayne), 1913-</t>
        </is>
      </c>
      <c r="N90" t="inlineStr">
        <is>
          <t>Ames, Iowa State University Press, 1966.</t>
        </is>
      </c>
      <c r="O90" t="inlineStr">
        <is>
          <t>1966</t>
        </is>
      </c>
      <c r="P90" t="inlineStr">
        <is>
          <t>[1st ed.]</t>
        </is>
      </c>
      <c r="Q90" t="inlineStr">
        <is>
          <t>eng</t>
        </is>
      </c>
      <c r="R90" t="inlineStr">
        <is>
          <t>iau</t>
        </is>
      </c>
      <c r="T90" t="inlineStr">
        <is>
          <t xml:space="preserve">BL </t>
        </is>
      </c>
      <c r="U90" t="n">
        <v>6</v>
      </c>
      <c r="V90" t="n">
        <v>6</v>
      </c>
      <c r="W90" t="inlineStr">
        <is>
          <t>1998-10-06</t>
        </is>
      </c>
      <c r="X90" t="inlineStr">
        <is>
          <t>1998-10-06</t>
        </is>
      </c>
      <c r="Y90" t="inlineStr">
        <is>
          <t>1990-10-05</t>
        </is>
      </c>
      <c r="Z90" t="inlineStr">
        <is>
          <t>1990-10-05</t>
        </is>
      </c>
      <c r="AA90" t="n">
        <v>548</v>
      </c>
      <c r="AB90" t="n">
        <v>524</v>
      </c>
      <c r="AC90" t="n">
        <v>527</v>
      </c>
      <c r="AD90" t="n">
        <v>4</v>
      </c>
      <c r="AE90" t="n">
        <v>4</v>
      </c>
      <c r="AF90" t="n">
        <v>27</v>
      </c>
      <c r="AG90" t="n">
        <v>27</v>
      </c>
      <c r="AH90" t="n">
        <v>11</v>
      </c>
      <c r="AI90" t="n">
        <v>11</v>
      </c>
      <c r="AJ90" t="n">
        <v>6</v>
      </c>
      <c r="AK90" t="n">
        <v>6</v>
      </c>
      <c r="AL90" t="n">
        <v>15</v>
      </c>
      <c r="AM90" t="n">
        <v>15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HYPERLINK("https://creighton-primo.hosted.exlibrisgroup.com/primo-explore/search?tab=default_tab&amp;search_scope=EVERYTHING&amp;vid=01CRU&amp;lang=en_US&amp;offset=0&amp;query=any,contains,991002569379702656","Catalog Record")</f>
        <v/>
      </c>
      <c r="AV90">
        <f>HYPERLINK("http://www.worldcat.org/oclc/373307","WorldCat Record")</f>
        <v/>
      </c>
      <c r="AW90" t="inlineStr">
        <is>
          <t>1455807:eng</t>
        </is>
      </c>
      <c r="AX90" t="inlineStr">
        <is>
          <t>373307</t>
        </is>
      </c>
      <c r="AY90" t="inlineStr">
        <is>
          <t>991002569379702656</t>
        </is>
      </c>
      <c r="AZ90" t="inlineStr">
        <is>
          <t>991002569379702656</t>
        </is>
      </c>
      <c r="BA90" t="inlineStr">
        <is>
          <t>2261175940002656</t>
        </is>
      </c>
      <c r="BB90" t="inlineStr">
        <is>
          <t>BOOK</t>
        </is>
      </c>
      <c r="BE90" t="inlineStr">
        <is>
          <t>32285000333442</t>
        </is>
      </c>
      <c r="BF90" t="inlineStr">
        <is>
          <t>893603747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BL240.2 .S75 1988</t>
        </is>
      </c>
      <c r="E91" t="inlineStr">
        <is>
          <t>0                      BL 0240200S  75          1988</t>
        </is>
      </c>
      <c r="F91" t="inlineStr">
        <is>
          <t>Science, reason &amp; religion / Derek Stanesby.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Stanesby, Derek.</t>
        </is>
      </c>
      <c r="N91" t="inlineStr">
        <is>
          <t>London ; New York : Routledge, 1988, c1985.</t>
        </is>
      </c>
      <c r="O91" t="inlineStr">
        <is>
          <t>1988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BL </t>
        </is>
      </c>
      <c r="U91" t="n">
        <v>4</v>
      </c>
      <c r="V91" t="n">
        <v>4</v>
      </c>
      <c r="W91" t="inlineStr">
        <is>
          <t>2005-12-02</t>
        </is>
      </c>
      <c r="X91" t="inlineStr">
        <is>
          <t>2005-12-02</t>
        </is>
      </c>
      <c r="Y91" t="inlineStr">
        <is>
          <t>1990-01-23</t>
        </is>
      </c>
      <c r="Z91" t="inlineStr">
        <is>
          <t>1990-01-23</t>
        </is>
      </c>
      <c r="AA91" t="n">
        <v>164</v>
      </c>
      <c r="AB91" t="n">
        <v>97</v>
      </c>
      <c r="AC91" t="n">
        <v>669</v>
      </c>
      <c r="AD91" t="n">
        <v>1</v>
      </c>
      <c r="AE91" t="n">
        <v>6</v>
      </c>
      <c r="AF91" t="n">
        <v>10</v>
      </c>
      <c r="AG91" t="n">
        <v>33</v>
      </c>
      <c r="AH91" t="n">
        <v>4</v>
      </c>
      <c r="AI91" t="n">
        <v>12</v>
      </c>
      <c r="AJ91" t="n">
        <v>1</v>
      </c>
      <c r="AK91" t="n">
        <v>8</v>
      </c>
      <c r="AL91" t="n">
        <v>6</v>
      </c>
      <c r="AM91" t="n">
        <v>13</v>
      </c>
      <c r="AN91" t="n">
        <v>0</v>
      </c>
      <c r="AO91" t="n">
        <v>5</v>
      </c>
      <c r="AP91" t="n">
        <v>0</v>
      </c>
      <c r="AQ91" t="n">
        <v>1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HYPERLINK("https://creighton-primo.hosted.exlibrisgroup.com/primo-explore/search?tab=default_tab&amp;search_scope=EVERYTHING&amp;vid=01CRU&amp;lang=en_US&amp;offset=0&amp;query=any,contains,991001328619702656","Catalog Record")</f>
        <v/>
      </c>
      <c r="AV91">
        <f>HYPERLINK("http://www.worldcat.org/oclc/18292171","WorldCat Record")</f>
        <v/>
      </c>
      <c r="AW91" t="inlineStr">
        <is>
          <t>112582088:eng</t>
        </is>
      </c>
      <c r="AX91" t="inlineStr">
        <is>
          <t>18292171</t>
        </is>
      </c>
      <c r="AY91" t="inlineStr">
        <is>
          <t>991001328619702656</t>
        </is>
      </c>
      <c r="AZ91" t="inlineStr">
        <is>
          <t>991001328619702656</t>
        </is>
      </c>
      <c r="BA91" t="inlineStr">
        <is>
          <t>2264406860002656</t>
        </is>
      </c>
      <c r="BB91" t="inlineStr">
        <is>
          <t>BOOK</t>
        </is>
      </c>
      <c r="BD91" t="inlineStr">
        <is>
          <t>9780415026574</t>
        </is>
      </c>
      <c r="BE91" t="inlineStr">
        <is>
          <t>32285000029800</t>
        </is>
      </c>
      <c r="BF91" t="inlineStr">
        <is>
          <t>893878803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BL240.2 .T43 1989</t>
        </is>
      </c>
      <c r="E92" t="inlineStr">
        <is>
          <t>0                      BL 0240200T  43          1989</t>
        </is>
      </c>
      <c r="F92" t="inlineStr">
        <is>
          <t>The God who would be known : revelations of the divine in contemporary science / John M. Templeton and Robert L. Herrmann.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Templeton, John, 1912-2008.</t>
        </is>
      </c>
      <c r="N92" t="inlineStr">
        <is>
          <t>San Francisco : Harper &amp; Row, c1989.</t>
        </is>
      </c>
      <c r="O92" t="inlineStr">
        <is>
          <t>1989</t>
        </is>
      </c>
      <c r="P92" t="inlineStr">
        <is>
          <t>1st ed.</t>
        </is>
      </c>
      <c r="Q92" t="inlineStr">
        <is>
          <t>eng</t>
        </is>
      </c>
      <c r="R92" t="inlineStr">
        <is>
          <t>cau</t>
        </is>
      </c>
      <c r="T92" t="inlineStr">
        <is>
          <t xml:space="preserve">BL </t>
        </is>
      </c>
      <c r="U92" t="n">
        <v>2</v>
      </c>
      <c r="V92" t="n">
        <v>2</v>
      </c>
      <c r="W92" t="inlineStr">
        <is>
          <t>1994-05-06</t>
        </is>
      </c>
      <c r="X92" t="inlineStr">
        <is>
          <t>1994-05-06</t>
        </is>
      </c>
      <c r="Y92" t="inlineStr">
        <is>
          <t>1990-05-17</t>
        </is>
      </c>
      <c r="Z92" t="inlineStr">
        <is>
          <t>1990-05-17</t>
        </is>
      </c>
      <c r="AA92" t="n">
        <v>392</v>
      </c>
      <c r="AB92" t="n">
        <v>337</v>
      </c>
      <c r="AC92" t="n">
        <v>719</v>
      </c>
      <c r="AD92" t="n">
        <v>3</v>
      </c>
      <c r="AE92" t="n">
        <v>9</v>
      </c>
      <c r="AF92" t="n">
        <v>22</v>
      </c>
      <c r="AG92" t="n">
        <v>38</v>
      </c>
      <c r="AH92" t="n">
        <v>8</v>
      </c>
      <c r="AI92" t="n">
        <v>15</v>
      </c>
      <c r="AJ92" t="n">
        <v>5</v>
      </c>
      <c r="AK92" t="n">
        <v>7</v>
      </c>
      <c r="AL92" t="n">
        <v>11</v>
      </c>
      <c r="AM92" t="n">
        <v>15</v>
      </c>
      <c r="AN92" t="n">
        <v>1</v>
      </c>
      <c r="AO92" t="n">
        <v>6</v>
      </c>
      <c r="AP92" t="n">
        <v>0</v>
      </c>
      <c r="AQ92" t="n">
        <v>1</v>
      </c>
      <c r="AR92" t="inlineStr">
        <is>
          <t>No</t>
        </is>
      </c>
      <c r="AS92" t="inlineStr">
        <is>
          <t>Yes</t>
        </is>
      </c>
      <c r="AT92">
        <f>HYPERLINK("http://catalog.hathitrust.org/Record/004542691","HathiTrust Record")</f>
        <v/>
      </c>
      <c r="AU92">
        <f>HYPERLINK("https://creighton-primo.hosted.exlibrisgroup.com/primo-explore/search?tab=default_tab&amp;search_scope=EVERYTHING&amp;vid=01CRU&amp;lang=en_US&amp;offset=0&amp;query=any,contains,991001411089702656","Catalog Record")</f>
        <v/>
      </c>
      <c r="AV92">
        <f>HYPERLINK("http://www.worldcat.org/oclc/18907464","WorldCat Record")</f>
        <v/>
      </c>
      <c r="AW92" t="inlineStr">
        <is>
          <t>364126381:eng</t>
        </is>
      </c>
      <c r="AX92" t="inlineStr">
        <is>
          <t>18907464</t>
        </is>
      </c>
      <c r="AY92" t="inlineStr">
        <is>
          <t>991001411089702656</t>
        </is>
      </c>
      <c r="AZ92" t="inlineStr">
        <is>
          <t>991001411089702656</t>
        </is>
      </c>
      <c r="BA92" t="inlineStr">
        <is>
          <t>2256723850002656</t>
        </is>
      </c>
      <c r="BB92" t="inlineStr">
        <is>
          <t>BOOK</t>
        </is>
      </c>
      <c r="BD92" t="inlineStr">
        <is>
          <t>9780062508676</t>
        </is>
      </c>
      <c r="BE92" t="inlineStr">
        <is>
          <t>32285000137744</t>
        </is>
      </c>
      <c r="BF92" t="inlineStr">
        <is>
          <t>893534545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BL240.2 .W67 1980</t>
        </is>
      </c>
      <c r="E93" t="inlineStr">
        <is>
          <t>0                      BL 0240200W  67          1980</t>
        </is>
      </c>
      <c r="F93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3" t="inlineStr">
        <is>
          <t>V.2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Philadelphia : Fortress Press, c1980.</t>
        </is>
      </c>
      <c r="O93" t="inlineStr">
        <is>
          <t>1980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BL </t>
        </is>
      </c>
      <c r="U93" t="n">
        <v>4</v>
      </c>
      <c r="V93" t="n">
        <v>9</v>
      </c>
      <c r="W93" t="inlineStr">
        <is>
          <t>2006-10-04</t>
        </is>
      </c>
      <c r="X93" t="inlineStr">
        <is>
          <t>2006-10-04</t>
        </is>
      </c>
      <c r="Y93" t="inlineStr">
        <is>
          <t>1990-10-05</t>
        </is>
      </c>
      <c r="Z93" t="inlineStr">
        <is>
          <t>1990-10-05</t>
        </is>
      </c>
      <c r="AA93" t="n">
        <v>325</v>
      </c>
      <c r="AB93" t="n">
        <v>302</v>
      </c>
      <c r="AC93" t="n">
        <v>457</v>
      </c>
      <c r="AD93" t="n">
        <v>2</v>
      </c>
      <c r="AE93" t="n">
        <v>3</v>
      </c>
      <c r="AF93" t="n">
        <v>21</v>
      </c>
      <c r="AG93" t="n">
        <v>32</v>
      </c>
      <c r="AH93" t="n">
        <v>8</v>
      </c>
      <c r="AI93" t="n">
        <v>13</v>
      </c>
      <c r="AJ93" t="n">
        <v>8</v>
      </c>
      <c r="AK93" t="n">
        <v>9</v>
      </c>
      <c r="AL93" t="n">
        <v>11</v>
      </c>
      <c r="AM93" t="n">
        <v>18</v>
      </c>
      <c r="AN93" t="n">
        <v>1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HYPERLINK("http://catalog.hathitrust.org/Record/004479707","HathiTrust Record")</f>
        <v/>
      </c>
      <c r="AU93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3">
        <f>HYPERLINK("http://www.worldcat.org/oclc/6510515","WorldCat Record")</f>
        <v/>
      </c>
      <c r="AW93" t="inlineStr">
        <is>
          <t>365289234:eng</t>
        </is>
      </c>
      <c r="AX93" t="inlineStr">
        <is>
          <t>6510515</t>
        </is>
      </c>
      <c r="AY93" t="inlineStr">
        <is>
          <t>991004995289702656</t>
        </is>
      </c>
      <c r="AZ93" t="inlineStr">
        <is>
          <t>991004995289702656</t>
        </is>
      </c>
      <c r="BA93" t="inlineStr">
        <is>
          <t>2258667330002656</t>
        </is>
      </c>
      <c r="BB93" t="inlineStr">
        <is>
          <t>BOOK</t>
        </is>
      </c>
      <c r="BE93" t="inlineStr">
        <is>
          <t>32285000333475</t>
        </is>
      </c>
      <c r="BF93" t="inlineStr">
        <is>
          <t>893625319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BL240.2 .W67 1980</t>
        </is>
      </c>
      <c r="E94" t="inlineStr">
        <is>
          <t>0                      BL 0240200W  67          1980</t>
        </is>
      </c>
      <c r="F94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4" t="inlineStr">
        <is>
          <t>V.1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Philadelphia : Fortress Press, c1980.</t>
        </is>
      </c>
      <c r="O94" t="inlineStr">
        <is>
          <t>1980</t>
        </is>
      </c>
      <c r="Q94" t="inlineStr">
        <is>
          <t>eng</t>
        </is>
      </c>
      <c r="R94" t="inlineStr">
        <is>
          <t>pau</t>
        </is>
      </c>
      <c r="T94" t="inlineStr">
        <is>
          <t xml:space="preserve">BL </t>
        </is>
      </c>
      <c r="U94" t="n">
        <v>5</v>
      </c>
      <c r="V94" t="n">
        <v>9</v>
      </c>
      <c r="W94" t="inlineStr">
        <is>
          <t>2004-11-21</t>
        </is>
      </c>
      <c r="X94" t="inlineStr">
        <is>
          <t>2006-10-04</t>
        </is>
      </c>
      <c r="Y94" t="inlineStr">
        <is>
          <t>1990-10-05</t>
        </is>
      </c>
      <c r="Z94" t="inlineStr">
        <is>
          <t>1990-10-05</t>
        </is>
      </c>
      <c r="AA94" t="n">
        <v>325</v>
      </c>
      <c r="AB94" t="n">
        <v>302</v>
      </c>
      <c r="AC94" t="n">
        <v>457</v>
      </c>
      <c r="AD94" t="n">
        <v>2</v>
      </c>
      <c r="AE94" t="n">
        <v>3</v>
      </c>
      <c r="AF94" t="n">
        <v>21</v>
      </c>
      <c r="AG94" t="n">
        <v>32</v>
      </c>
      <c r="AH94" t="n">
        <v>8</v>
      </c>
      <c r="AI94" t="n">
        <v>13</v>
      </c>
      <c r="AJ94" t="n">
        <v>8</v>
      </c>
      <c r="AK94" t="n">
        <v>9</v>
      </c>
      <c r="AL94" t="n">
        <v>11</v>
      </c>
      <c r="AM94" t="n">
        <v>18</v>
      </c>
      <c r="AN94" t="n">
        <v>1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HYPERLINK("http://catalog.hathitrust.org/Record/004479707","HathiTrust Record")</f>
        <v/>
      </c>
      <c r="AU94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4">
        <f>HYPERLINK("http://www.worldcat.org/oclc/6510515","WorldCat Record")</f>
        <v/>
      </c>
      <c r="AW94" t="inlineStr">
        <is>
          <t>365289234:eng</t>
        </is>
      </c>
      <c r="AX94" t="inlineStr">
        <is>
          <t>6510515</t>
        </is>
      </c>
      <c r="AY94" t="inlineStr">
        <is>
          <t>991004995289702656</t>
        </is>
      </c>
      <c r="AZ94" t="inlineStr">
        <is>
          <t>991004995289702656</t>
        </is>
      </c>
      <c r="BA94" t="inlineStr">
        <is>
          <t>2258667330002656</t>
        </is>
      </c>
      <c r="BB94" t="inlineStr">
        <is>
          <t>BOOK</t>
        </is>
      </c>
      <c r="BE94" t="inlineStr">
        <is>
          <t>32285000333467</t>
        </is>
      </c>
      <c r="BF94" t="inlineStr">
        <is>
          <t>893625320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BL240.H69 O9</t>
        </is>
      </c>
      <c r="E95" t="inlineStr">
        <is>
          <t>0                      BL 0240000H  69                 O  9</t>
        </is>
      </c>
      <c r="F95" t="inlineStr">
        <is>
          <t>Our palace wonderful ; or, Man's place in visible creation / by the Rev. Frederick A. Houck.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Houck, Frederick A. (Frederick Alfons), 1866-1954.</t>
        </is>
      </c>
      <c r="N95" t="inlineStr">
        <is>
          <t>Chicago, Ill. : D.B. Hansen &amp; sons, 1915.</t>
        </is>
      </c>
      <c r="O95" t="inlineStr">
        <is>
          <t>1915</t>
        </is>
      </c>
      <c r="Q95" t="inlineStr">
        <is>
          <t>eng</t>
        </is>
      </c>
      <c r="R95" t="inlineStr">
        <is>
          <t xml:space="preserve">xx </t>
        </is>
      </c>
      <c r="T95" t="inlineStr">
        <is>
          <t xml:space="preserve">BL </t>
        </is>
      </c>
      <c r="U95" t="n">
        <v>1</v>
      </c>
      <c r="V95" t="n">
        <v>1</v>
      </c>
      <c r="W95" t="inlineStr">
        <is>
          <t>1995-02-15</t>
        </is>
      </c>
      <c r="X95" t="inlineStr">
        <is>
          <t>1995-02-15</t>
        </is>
      </c>
      <c r="Y95" t="inlineStr">
        <is>
          <t>1990-10-04</t>
        </is>
      </c>
      <c r="Z95" t="inlineStr">
        <is>
          <t>2000-06-14</t>
        </is>
      </c>
      <c r="AA95" t="n">
        <v>51</v>
      </c>
      <c r="AB95" t="n">
        <v>49</v>
      </c>
      <c r="AC95" t="n">
        <v>101</v>
      </c>
      <c r="AD95" t="n">
        <v>2</v>
      </c>
      <c r="AE95" t="n">
        <v>3</v>
      </c>
      <c r="AF95" t="n">
        <v>8</v>
      </c>
      <c r="AG95" t="n">
        <v>12</v>
      </c>
      <c r="AH95" t="n">
        <v>2</v>
      </c>
      <c r="AI95" t="n">
        <v>2</v>
      </c>
      <c r="AJ95" t="n">
        <v>3</v>
      </c>
      <c r="AK95" t="n">
        <v>5</v>
      </c>
      <c r="AL95" t="n">
        <v>5</v>
      </c>
      <c r="AM95" t="n">
        <v>6</v>
      </c>
      <c r="AN95" t="n">
        <v>0</v>
      </c>
      <c r="AO95" t="n">
        <v>1</v>
      </c>
      <c r="AP95" t="n">
        <v>0</v>
      </c>
      <c r="AQ95" t="n">
        <v>0</v>
      </c>
      <c r="AR95" t="inlineStr">
        <is>
          <t>Yes</t>
        </is>
      </c>
      <c r="AS95" t="inlineStr">
        <is>
          <t>No</t>
        </is>
      </c>
      <c r="AT95">
        <f>HYPERLINK("http://catalog.hathitrust.org/Record/100761100","HathiTrust Record")</f>
        <v/>
      </c>
      <c r="AU95">
        <f>HYPERLINK("https://creighton-primo.hosted.exlibrisgroup.com/primo-explore/search?tab=default_tab&amp;search_scope=EVERYTHING&amp;vid=01CRU&amp;lang=en_US&amp;offset=0&amp;query=any,contains,991003067509702656","Catalog Record")</f>
        <v/>
      </c>
      <c r="AV95">
        <f>HYPERLINK("http://www.worldcat.org/oclc/3626375","WorldCat Record")</f>
        <v/>
      </c>
      <c r="AW95" t="inlineStr">
        <is>
          <t>2395596:eng</t>
        </is>
      </c>
      <c r="AX95" t="inlineStr">
        <is>
          <t>3626375</t>
        </is>
      </c>
      <c r="AY95" t="inlineStr">
        <is>
          <t>991003067509702656</t>
        </is>
      </c>
      <c r="AZ95" t="inlineStr">
        <is>
          <t>991003067509702656</t>
        </is>
      </c>
      <c r="BA95" t="inlineStr">
        <is>
          <t>2269670520002656</t>
        </is>
      </c>
      <c r="BB95" t="inlineStr">
        <is>
          <t>BOOK</t>
        </is>
      </c>
      <c r="BE95" t="inlineStr">
        <is>
          <t>32285000332485</t>
        </is>
      </c>
      <c r="BF95" t="inlineStr">
        <is>
          <t>893899589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BL241 .E4 1929a</t>
        </is>
      </c>
      <c r="E96" t="inlineStr">
        <is>
          <t>0                      BL 0241000E  4           1929a</t>
        </is>
      </c>
      <c r="F96" t="inlineStr">
        <is>
          <t>Science and the unseen world.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Eddington, Arthur Stanley, Sir, 1882-1944.</t>
        </is>
      </c>
      <c r="N96" t="inlineStr">
        <is>
          <t>New York, Macmillan, 1929.</t>
        </is>
      </c>
      <c r="O96" t="inlineStr">
        <is>
          <t>1929</t>
        </is>
      </c>
      <c r="Q96" t="inlineStr">
        <is>
          <t>eng</t>
        </is>
      </c>
      <c r="R96" t="inlineStr">
        <is>
          <t>___</t>
        </is>
      </c>
      <c r="S96" t="inlineStr">
        <is>
          <t>Swarthmore lecture ; 1929</t>
        </is>
      </c>
      <c r="T96" t="inlineStr">
        <is>
          <t xml:space="preserve">BL </t>
        </is>
      </c>
      <c r="U96" t="n">
        <v>3</v>
      </c>
      <c r="V96" t="n">
        <v>3</v>
      </c>
      <c r="W96" t="inlineStr">
        <is>
          <t>1992-03-09</t>
        </is>
      </c>
      <c r="X96" t="inlineStr">
        <is>
          <t>1992-03-09</t>
        </is>
      </c>
      <c r="Y96" t="inlineStr">
        <is>
          <t>1990-10-05</t>
        </is>
      </c>
      <c r="Z96" t="inlineStr">
        <is>
          <t>1990-10-05</t>
        </is>
      </c>
      <c r="AA96" t="n">
        <v>453</v>
      </c>
      <c r="AB96" t="n">
        <v>432</v>
      </c>
      <c r="AC96" t="n">
        <v>725</v>
      </c>
      <c r="AD96" t="n">
        <v>2</v>
      </c>
      <c r="AE96" t="n">
        <v>5</v>
      </c>
      <c r="AF96" t="n">
        <v>24</v>
      </c>
      <c r="AG96" t="n">
        <v>38</v>
      </c>
      <c r="AH96" t="n">
        <v>11</v>
      </c>
      <c r="AI96" t="n">
        <v>16</v>
      </c>
      <c r="AJ96" t="n">
        <v>5</v>
      </c>
      <c r="AK96" t="n">
        <v>10</v>
      </c>
      <c r="AL96" t="n">
        <v>14</v>
      </c>
      <c r="AM96" t="n">
        <v>16</v>
      </c>
      <c r="AN96" t="n">
        <v>1</v>
      </c>
      <c r="AO96" t="n">
        <v>4</v>
      </c>
      <c r="AP96" t="n">
        <v>0</v>
      </c>
      <c r="AQ96" t="n">
        <v>2</v>
      </c>
      <c r="AR96" t="inlineStr">
        <is>
          <t>No</t>
        </is>
      </c>
      <c r="AS96" t="inlineStr">
        <is>
          <t>No</t>
        </is>
      </c>
      <c r="AT96">
        <f>HYPERLINK("http://catalog.hathitrust.org/Record/001391981","HathiTrust Record")</f>
        <v/>
      </c>
      <c r="AU96">
        <f>HYPERLINK("https://creighton-primo.hosted.exlibrisgroup.com/primo-explore/search?tab=default_tab&amp;search_scope=EVERYTHING&amp;vid=01CRU&amp;lang=en_US&amp;offset=0&amp;query=any,contains,991003147809702656","Catalog Record")</f>
        <v/>
      </c>
      <c r="AV96">
        <f>HYPERLINK("http://www.worldcat.org/oclc/687997","WorldCat Record")</f>
        <v/>
      </c>
      <c r="AW96" t="inlineStr">
        <is>
          <t>1342395:eng</t>
        </is>
      </c>
      <c r="AX96" t="inlineStr">
        <is>
          <t>687997</t>
        </is>
      </c>
      <c r="AY96" t="inlineStr">
        <is>
          <t>991003147809702656</t>
        </is>
      </c>
      <c r="AZ96" t="inlineStr">
        <is>
          <t>991003147809702656</t>
        </is>
      </c>
      <c r="BA96" t="inlineStr">
        <is>
          <t>2269868860002656</t>
        </is>
      </c>
      <c r="BB96" t="inlineStr">
        <is>
          <t>BOOK</t>
        </is>
      </c>
      <c r="BE96" t="inlineStr">
        <is>
          <t>32285000333483</t>
        </is>
      </c>
      <c r="BF96" t="inlineStr">
        <is>
          <t>893592231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BL241 .M19</t>
        </is>
      </c>
      <c r="E97" t="inlineStr">
        <is>
          <t>0                      BL 0241000M  19</t>
        </is>
      </c>
      <c r="F97" t="inlineStr">
        <is>
          <t>Science, chance, and providence : the Riddell memorial lectures, forty-sixth series delivered at the University of Newcastle upon Tyne on 15, 16, and 17 March 1977 / by Donald M. Mackay.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MacKay, Donald MacCrimmon, 1922-1987.</t>
        </is>
      </c>
      <c r="N97" t="inlineStr">
        <is>
          <t>Oxford [Eng.] ; New York : Oxford University Press, 1978.</t>
        </is>
      </c>
      <c r="O97" t="inlineStr">
        <is>
          <t>1978</t>
        </is>
      </c>
      <c r="Q97" t="inlineStr">
        <is>
          <t>eng</t>
        </is>
      </c>
      <c r="R97" t="inlineStr">
        <is>
          <t>enk</t>
        </is>
      </c>
      <c r="S97" t="inlineStr">
        <is>
          <t>Riddell memorial lectures ; 46th ser.</t>
        </is>
      </c>
      <c r="T97" t="inlineStr">
        <is>
          <t xml:space="preserve">BL </t>
        </is>
      </c>
      <c r="U97" t="n">
        <v>4</v>
      </c>
      <c r="V97" t="n">
        <v>4</v>
      </c>
      <c r="W97" t="inlineStr">
        <is>
          <t>1993-06-10</t>
        </is>
      </c>
      <c r="X97" t="inlineStr">
        <is>
          <t>1993-06-10</t>
        </is>
      </c>
      <c r="Y97" t="inlineStr">
        <is>
          <t>1990-10-05</t>
        </is>
      </c>
      <c r="Z97" t="inlineStr">
        <is>
          <t>1990-10-05</t>
        </is>
      </c>
      <c r="AA97" t="n">
        <v>383</v>
      </c>
      <c r="AB97" t="n">
        <v>297</v>
      </c>
      <c r="AC97" t="n">
        <v>304</v>
      </c>
      <c r="AD97" t="n">
        <v>2</v>
      </c>
      <c r="AE97" t="n">
        <v>2</v>
      </c>
      <c r="AF97" t="n">
        <v>17</v>
      </c>
      <c r="AG97" t="n">
        <v>17</v>
      </c>
      <c r="AH97" t="n">
        <v>5</v>
      </c>
      <c r="AI97" t="n">
        <v>5</v>
      </c>
      <c r="AJ97" t="n">
        <v>4</v>
      </c>
      <c r="AK97" t="n">
        <v>4</v>
      </c>
      <c r="AL97" t="n">
        <v>12</v>
      </c>
      <c r="AM97" t="n">
        <v>12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HYPERLINK("http://catalog.hathitrust.org/Record/000091390","HathiTrust Record")</f>
        <v/>
      </c>
      <c r="AU97">
        <f>HYPERLINK("https://creighton-primo.hosted.exlibrisgroup.com/primo-explore/search?tab=default_tab&amp;search_scope=EVERYTHING&amp;vid=01CRU&amp;lang=en_US&amp;offset=0&amp;query=any,contains,991004473609702656","Catalog Record")</f>
        <v/>
      </c>
      <c r="AV97">
        <f>HYPERLINK("http://www.worldcat.org/oclc/3608286","WorldCat Record")</f>
        <v/>
      </c>
      <c r="AW97" t="inlineStr">
        <is>
          <t>378228131:eng</t>
        </is>
      </c>
      <c r="AX97" t="inlineStr">
        <is>
          <t>3608286</t>
        </is>
      </c>
      <c r="AY97" t="inlineStr">
        <is>
          <t>991004473609702656</t>
        </is>
      </c>
      <c r="AZ97" t="inlineStr">
        <is>
          <t>991004473609702656</t>
        </is>
      </c>
      <c r="BA97" t="inlineStr">
        <is>
          <t>2271660540002656</t>
        </is>
      </c>
      <c r="BB97" t="inlineStr">
        <is>
          <t>BOOK</t>
        </is>
      </c>
      <c r="BD97" t="inlineStr">
        <is>
          <t>9780197139158</t>
        </is>
      </c>
      <c r="BE97" t="inlineStr">
        <is>
          <t>32285000333772</t>
        </is>
      </c>
      <c r="BF97" t="inlineStr">
        <is>
          <t>893319264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BL241 .S324 1994</t>
        </is>
      </c>
      <c r="E98" t="inlineStr">
        <is>
          <t>0                      BL 0241000S  324         1994</t>
        </is>
      </c>
      <c r="F98" t="inlineStr">
        <is>
          <t>Science, technology, and religious ideas / edited by Mark H. Shale, George W. Shields.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Lanham : University Press of America ; [Frankfort, Ken.] : Institute for Liberal Studies, c1994.</t>
        </is>
      </c>
      <c r="O98" t="inlineStr">
        <is>
          <t>1994</t>
        </is>
      </c>
      <c r="Q98" t="inlineStr">
        <is>
          <t>eng</t>
        </is>
      </c>
      <c r="R98" t="inlineStr">
        <is>
          <t>mdu</t>
        </is>
      </c>
      <c r="T98" t="inlineStr">
        <is>
          <t xml:space="preserve">BL </t>
        </is>
      </c>
      <c r="U98" t="n">
        <v>2</v>
      </c>
      <c r="V98" t="n">
        <v>2</v>
      </c>
      <c r="W98" t="inlineStr">
        <is>
          <t>1996-07-08</t>
        </is>
      </c>
      <c r="X98" t="inlineStr">
        <is>
          <t>1996-07-08</t>
        </is>
      </c>
      <c r="Y98" t="inlineStr">
        <is>
          <t>1996-03-01</t>
        </is>
      </c>
      <c r="Z98" t="inlineStr">
        <is>
          <t>1996-03-01</t>
        </is>
      </c>
      <c r="AA98" t="n">
        <v>171</v>
      </c>
      <c r="AB98" t="n">
        <v>150</v>
      </c>
      <c r="AC98" t="n">
        <v>152</v>
      </c>
      <c r="AD98" t="n">
        <v>3</v>
      </c>
      <c r="AE98" t="n">
        <v>3</v>
      </c>
      <c r="AF98" t="n">
        <v>16</v>
      </c>
      <c r="AG98" t="n">
        <v>16</v>
      </c>
      <c r="AH98" t="n">
        <v>6</v>
      </c>
      <c r="AI98" t="n">
        <v>6</v>
      </c>
      <c r="AJ98" t="n">
        <v>4</v>
      </c>
      <c r="AK98" t="n">
        <v>4</v>
      </c>
      <c r="AL98" t="n">
        <v>11</v>
      </c>
      <c r="AM98" t="n">
        <v>11</v>
      </c>
      <c r="AN98" t="n">
        <v>2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HYPERLINK("http://catalog.hathitrust.org/Record/002817993","HathiTrust Record")</f>
        <v/>
      </c>
      <c r="AU98">
        <f>HYPERLINK("https://creighton-primo.hosted.exlibrisgroup.com/primo-explore/search?tab=default_tab&amp;search_scope=EVERYTHING&amp;vid=01CRU&amp;lang=en_US&amp;offset=0&amp;query=any,contains,991002249169702656","Catalog Record")</f>
        <v/>
      </c>
      <c r="AV98">
        <f>HYPERLINK("http://www.worldcat.org/oclc/29028322","WorldCat Record")</f>
        <v/>
      </c>
      <c r="AW98" t="inlineStr">
        <is>
          <t>435387438:eng</t>
        </is>
      </c>
      <c r="AX98" t="inlineStr">
        <is>
          <t>29028322</t>
        </is>
      </c>
      <c r="AY98" t="inlineStr">
        <is>
          <t>991002249169702656</t>
        </is>
      </c>
      <c r="AZ98" t="inlineStr">
        <is>
          <t>991002249169702656</t>
        </is>
      </c>
      <c r="BA98" t="inlineStr">
        <is>
          <t>2258666130002656</t>
        </is>
      </c>
      <c r="BB98" t="inlineStr">
        <is>
          <t>BOOK</t>
        </is>
      </c>
      <c r="BD98" t="inlineStr">
        <is>
          <t>9780819193469</t>
        </is>
      </c>
      <c r="BE98" t="inlineStr">
        <is>
          <t>32285002139045</t>
        </is>
      </c>
      <c r="BF98" t="inlineStr">
        <is>
          <t>893352216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BL241 .T66 1989</t>
        </is>
      </c>
      <c r="E99" t="inlineStr">
        <is>
          <t>0                      BL 0241000T  66          1989</t>
        </is>
      </c>
      <c r="F99" t="inlineStr">
        <is>
          <t>The Christian frame of mind : reason, order, and openness in theology and natural science / Thomas F. Torrance ; introduction by W. Jim Neidhardt.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Torrance, Thomas F. (Thomas Forsyth), 1913-2007.</t>
        </is>
      </c>
      <c r="N99" t="inlineStr">
        <is>
          <t>Colorado Springs : Helmers &amp; Howard, c1989.</t>
        </is>
      </c>
      <c r="O99" t="inlineStr">
        <is>
          <t>1989</t>
        </is>
      </c>
      <c r="P99" t="inlineStr">
        <is>
          <t>[New ed.]</t>
        </is>
      </c>
      <c r="Q99" t="inlineStr">
        <is>
          <t>eng</t>
        </is>
      </c>
      <c r="R99" t="inlineStr">
        <is>
          <t>cou</t>
        </is>
      </c>
      <c r="T99" t="inlineStr">
        <is>
          <t xml:space="preserve">BL </t>
        </is>
      </c>
      <c r="U99" t="n">
        <v>7</v>
      </c>
      <c r="V99" t="n">
        <v>7</v>
      </c>
      <c r="W99" t="inlineStr">
        <is>
          <t>2006-04-27</t>
        </is>
      </c>
      <c r="X99" t="inlineStr">
        <is>
          <t>2006-04-27</t>
        </is>
      </c>
      <c r="Y99" t="inlineStr">
        <is>
          <t>1992-01-28</t>
        </is>
      </c>
      <c r="Z99" t="inlineStr">
        <is>
          <t>1992-01-28</t>
        </is>
      </c>
      <c r="AA99" t="n">
        <v>226</v>
      </c>
      <c r="AB99" t="n">
        <v>206</v>
      </c>
      <c r="AC99" t="n">
        <v>262</v>
      </c>
      <c r="AD99" t="n">
        <v>4</v>
      </c>
      <c r="AE99" t="n">
        <v>4</v>
      </c>
      <c r="AF99" t="n">
        <v>13</v>
      </c>
      <c r="AG99" t="n">
        <v>15</v>
      </c>
      <c r="AH99" t="n">
        <v>3</v>
      </c>
      <c r="AI99" t="n">
        <v>3</v>
      </c>
      <c r="AJ99" t="n">
        <v>5</v>
      </c>
      <c r="AK99" t="n">
        <v>5</v>
      </c>
      <c r="AL99" t="n">
        <v>7</v>
      </c>
      <c r="AM99" t="n">
        <v>9</v>
      </c>
      <c r="AN99" t="n">
        <v>2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HYPERLINK("http://catalog.hathitrust.org/Record/001529681","HathiTrust Record")</f>
        <v/>
      </c>
      <c r="AU99">
        <f>HYPERLINK("https://creighton-primo.hosted.exlibrisgroup.com/primo-explore/search?tab=default_tab&amp;search_scope=EVERYTHING&amp;vid=01CRU&amp;lang=en_US&amp;offset=0&amp;query=any,contains,991001457799702656","Catalog Record")</f>
        <v/>
      </c>
      <c r="AV99">
        <f>HYPERLINK("http://www.worldcat.org/oclc/19391393","WorldCat Record")</f>
        <v/>
      </c>
      <c r="AW99" t="inlineStr">
        <is>
          <t>813295234:eng</t>
        </is>
      </c>
      <c r="AX99" t="inlineStr">
        <is>
          <t>19391393</t>
        </is>
      </c>
      <c r="AY99" t="inlineStr">
        <is>
          <t>991001457799702656</t>
        </is>
      </c>
      <c r="AZ99" t="inlineStr">
        <is>
          <t>991001457799702656</t>
        </is>
      </c>
      <c r="BA99" t="inlineStr">
        <is>
          <t>2256860840002656</t>
        </is>
      </c>
      <c r="BB99" t="inlineStr">
        <is>
          <t>BOOK</t>
        </is>
      </c>
      <c r="BD99" t="inlineStr">
        <is>
          <t>9780939443093</t>
        </is>
      </c>
      <c r="BE99" t="inlineStr">
        <is>
          <t>32285000867159</t>
        </is>
      </c>
      <c r="BF99" t="inlineStr">
        <is>
          <t>893878893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BL241 .T67 1981</t>
        </is>
      </c>
      <c r="E100" t="inlineStr">
        <is>
          <t>0                      BL 0241000T  67          1981</t>
        </is>
      </c>
      <c r="F100" t="inlineStr">
        <is>
          <t>Christian theology and scientific culture / by Thomas F. Torrance.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Torrance, Thomas F. (Thomas Forsyth), 1913-2007.</t>
        </is>
      </c>
      <c r="N100" t="inlineStr">
        <is>
          <t>New York : Oxford University Press, 1981.</t>
        </is>
      </c>
      <c r="O100" t="inlineStr">
        <is>
          <t>1981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BL </t>
        </is>
      </c>
      <c r="U100" t="n">
        <v>6</v>
      </c>
      <c r="V100" t="n">
        <v>6</v>
      </c>
      <c r="W100" t="inlineStr">
        <is>
          <t>2005-03-14</t>
        </is>
      </c>
      <c r="X100" t="inlineStr">
        <is>
          <t>2005-03-14</t>
        </is>
      </c>
      <c r="Y100" t="inlineStr">
        <is>
          <t>1990-10-05</t>
        </is>
      </c>
      <c r="Z100" t="inlineStr">
        <is>
          <t>1990-10-05</t>
        </is>
      </c>
      <c r="AA100" t="n">
        <v>417</v>
      </c>
      <c r="AB100" t="n">
        <v>378</v>
      </c>
      <c r="AC100" t="n">
        <v>393</v>
      </c>
      <c r="AD100" t="n">
        <v>2</v>
      </c>
      <c r="AE100" t="n">
        <v>2</v>
      </c>
      <c r="AF100" t="n">
        <v>24</v>
      </c>
      <c r="AG100" t="n">
        <v>24</v>
      </c>
      <c r="AH100" t="n">
        <v>8</v>
      </c>
      <c r="AI100" t="n">
        <v>8</v>
      </c>
      <c r="AJ100" t="n">
        <v>6</v>
      </c>
      <c r="AK100" t="n">
        <v>6</v>
      </c>
      <c r="AL100" t="n">
        <v>16</v>
      </c>
      <c r="AM100" t="n">
        <v>16</v>
      </c>
      <c r="AN100" t="n">
        <v>1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HYPERLINK("http://catalog.hathitrust.org/Record/000267522","HathiTrust Record")</f>
        <v/>
      </c>
      <c r="AU100">
        <f>HYPERLINK("https://creighton-primo.hosted.exlibrisgroup.com/primo-explore/search?tab=default_tab&amp;search_scope=EVERYTHING&amp;vid=01CRU&amp;lang=en_US&amp;offset=0&amp;query=any,contains,991005169109702656","Catalog Record")</f>
        <v/>
      </c>
      <c r="AV100">
        <f>HYPERLINK("http://www.worldcat.org/oclc/7837844","WorldCat Record")</f>
        <v/>
      </c>
      <c r="AW100" t="inlineStr">
        <is>
          <t>4095576839:eng</t>
        </is>
      </c>
      <c r="AX100" t="inlineStr">
        <is>
          <t>7837844</t>
        </is>
      </c>
      <c r="AY100" t="inlineStr">
        <is>
          <t>991005169109702656</t>
        </is>
      </c>
      <c r="AZ100" t="inlineStr">
        <is>
          <t>991005169109702656</t>
        </is>
      </c>
      <c r="BA100" t="inlineStr">
        <is>
          <t>2256755020002656</t>
        </is>
      </c>
      <c r="BB100" t="inlineStr">
        <is>
          <t>BOOK</t>
        </is>
      </c>
      <c r="BD100" t="inlineStr">
        <is>
          <t>9780195202724</t>
        </is>
      </c>
      <c r="BE100" t="inlineStr">
        <is>
          <t>32285000333798</t>
        </is>
      </c>
      <c r="BF100" t="inlineStr">
        <is>
          <t>893807926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BL241 .T74</t>
        </is>
      </c>
      <c r="E101" t="inlineStr">
        <is>
          <t>0                      BL 0241000T  74</t>
        </is>
      </c>
      <c r="F101" t="inlineStr">
        <is>
          <t>The God of science; personal interviews with 38 leading American and European scientists on the nature of truth, the existence of God, and the role of the church [by] Frederick E. Trinklein.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Trinklein, Frederick E.</t>
        </is>
      </c>
      <c r="N101" t="inlineStr">
        <is>
          <t>Grand Rapids, Eerdmans [1971]</t>
        </is>
      </c>
      <c r="O101" t="inlineStr">
        <is>
          <t>1971</t>
        </is>
      </c>
      <c r="Q101" t="inlineStr">
        <is>
          <t>eng</t>
        </is>
      </c>
      <c r="R101" t="inlineStr">
        <is>
          <t>miu</t>
        </is>
      </c>
      <c r="T101" t="inlineStr">
        <is>
          <t xml:space="preserve">BL </t>
        </is>
      </c>
      <c r="U101" t="n">
        <v>4</v>
      </c>
      <c r="V101" t="n">
        <v>4</v>
      </c>
      <c r="W101" t="inlineStr">
        <is>
          <t>1996-02-11</t>
        </is>
      </c>
      <c r="X101" t="inlineStr">
        <is>
          <t>1996-02-11</t>
        </is>
      </c>
      <c r="Y101" t="inlineStr">
        <is>
          <t>1990-10-05</t>
        </is>
      </c>
      <c r="Z101" t="inlineStr">
        <is>
          <t>1990-10-05</t>
        </is>
      </c>
      <c r="AA101" t="n">
        <v>295</v>
      </c>
      <c r="AB101" t="n">
        <v>267</v>
      </c>
      <c r="AC101" t="n">
        <v>270</v>
      </c>
      <c r="AD101" t="n">
        <v>5</v>
      </c>
      <c r="AE101" t="n">
        <v>5</v>
      </c>
      <c r="AF101" t="n">
        <v>19</v>
      </c>
      <c r="AG101" t="n">
        <v>19</v>
      </c>
      <c r="AH101" t="n">
        <v>8</v>
      </c>
      <c r="AI101" t="n">
        <v>8</v>
      </c>
      <c r="AJ101" t="n">
        <v>3</v>
      </c>
      <c r="AK101" t="n">
        <v>3</v>
      </c>
      <c r="AL101" t="n">
        <v>9</v>
      </c>
      <c r="AM101" t="n">
        <v>9</v>
      </c>
      <c r="AN101" t="n">
        <v>4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HYPERLINK("http://catalog.hathitrust.org/Record/005717800","HathiTrust Record")</f>
        <v/>
      </c>
      <c r="AU101">
        <f>HYPERLINK("https://creighton-primo.hosted.exlibrisgroup.com/primo-explore/search?tab=default_tab&amp;search_scope=EVERYTHING&amp;vid=01CRU&amp;lang=en_US&amp;offset=0&amp;query=any,contains,991001905869702656","Catalog Record")</f>
        <v/>
      </c>
      <c r="AV101">
        <f>HYPERLINK("http://www.worldcat.org/oclc/240379","WorldCat Record")</f>
        <v/>
      </c>
      <c r="AW101" t="inlineStr">
        <is>
          <t>287421335:eng</t>
        </is>
      </c>
      <c r="AX101" t="inlineStr">
        <is>
          <t>240379</t>
        </is>
      </c>
      <c r="AY101" t="inlineStr">
        <is>
          <t>991001905869702656</t>
        </is>
      </c>
      <c r="AZ101" t="inlineStr">
        <is>
          <t>991001905869702656</t>
        </is>
      </c>
      <c r="BA101" t="inlineStr">
        <is>
          <t>2272206580002656</t>
        </is>
      </c>
      <c r="BB101" t="inlineStr">
        <is>
          <t>BOOK</t>
        </is>
      </c>
      <c r="BE101" t="inlineStr">
        <is>
          <t>32285000333814</t>
        </is>
      </c>
      <c r="BF101" t="inlineStr">
        <is>
          <t>893244516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BL2441.B7 D48 1972</t>
        </is>
      </c>
      <c r="E102" t="inlineStr">
        <is>
          <t>0                      BL 2441000B  7                  D  48          1972</t>
        </is>
      </c>
      <c r="F102" t="inlineStr">
        <is>
          <t>Development of religion and thought in ancient Egypt / James Henry Breasted ; foreword by John A. Wilson.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Breasted, James Henry, 1865-1935.</t>
        </is>
      </c>
      <c r="N102" t="inlineStr">
        <is>
          <t>Philadelphia : University of Pennsylvania Press, 1972, c1940.</t>
        </is>
      </c>
      <c r="O102" t="inlineStr">
        <is>
          <t>1972</t>
        </is>
      </c>
      <c r="P102" t="inlineStr">
        <is>
          <t>1st University of Pennsylvania Press pbk.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BL </t>
        </is>
      </c>
      <c r="U102" t="n">
        <v>2</v>
      </c>
      <c r="V102" t="n">
        <v>2</v>
      </c>
      <c r="W102" t="inlineStr">
        <is>
          <t>2004-11-11</t>
        </is>
      </c>
      <c r="X102" t="inlineStr">
        <is>
          <t>2004-11-11</t>
        </is>
      </c>
      <c r="Y102" t="inlineStr">
        <is>
          <t>2004-09-15</t>
        </is>
      </c>
      <c r="Z102" t="inlineStr">
        <is>
          <t>2004-09-15</t>
        </is>
      </c>
      <c r="AA102" t="n">
        <v>235</v>
      </c>
      <c r="AB102" t="n">
        <v>202</v>
      </c>
      <c r="AC102" t="n">
        <v>939</v>
      </c>
      <c r="AD102" t="n">
        <v>1</v>
      </c>
      <c r="AE102" t="n">
        <v>7</v>
      </c>
      <c r="AF102" t="n">
        <v>10</v>
      </c>
      <c r="AG102" t="n">
        <v>45</v>
      </c>
      <c r="AH102" t="n">
        <v>9</v>
      </c>
      <c r="AI102" t="n">
        <v>21</v>
      </c>
      <c r="AJ102" t="n">
        <v>1</v>
      </c>
      <c r="AK102" t="n">
        <v>9</v>
      </c>
      <c r="AL102" t="n">
        <v>4</v>
      </c>
      <c r="AM102" t="n">
        <v>23</v>
      </c>
      <c r="AN102" t="n">
        <v>0</v>
      </c>
      <c r="AO102" t="n">
        <v>5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HYPERLINK("https://creighton-primo.hosted.exlibrisgroup.com/primo-explore/search?tab=default_tab&amp;search_scope=EVERYTHING&amp;vid=01CRU&amp;lang=en_US&amp;offset=0&amp;query=any,contains,991004375039702656","Catalog Record")</f>
        <v/>
      </c>
      <c r="AV102">
        <f>HYPERLINK("http://www.worldcat.org/oclc/645503","WorldCat Record")</f>
        <v/>
      </c>
      <c r="AW102" t="inlineStr">
        <is>
          <t>1312107:eng</t>
        </is>
      </c>
      <c r="AX102" t="inlineStr">
        <is>
          <t>645503</t>
        </is>
      </c>
      <c r="AY102" t="inlineStr">
        <is>
          <t>991004375039702656</t>
        </is>
      </c>
      <c r="AZ102" t="inlineStr">
        <is>
          <t>991004375039702656</t>
        </is>
      </c>
      <c r="BA102" t="inlineStr">
        <is>
          <t>2257519870002656</t>
        </is>
      </c>
      <c r="BB102" t="inlineStr">
        <is>
          <t>BOOK</t>
        </is>
      </c>
      <c r="BD102" t="inlineStr">
        <is>
          <t>9780812210453</t>
        </is>
      </c>
      <c r="BE102" t="inlineStr">
        <is>
          <t>32285004987961</t>
        </is>
      </c>
      <c r="BF102" t="inlineStr">
        <is>
          <t>893700159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BL245 .C67 1988</t>
        </is>
      </c>
      <c r="E103" t="inlineStr">
        <is>
          <t>0                      BL 0245000C  67          1988</t>
        </is>
      </c>
      <c r="F103" t="inlineStr">
        <is>
          <t>Science and religion : Baden Powell and the Anglican debate, 1800-1860 / Pietro Corsi.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Corsi, Pietro.</t>
        </is>
      </c>
      <c r="N103" t="inlineStr">
        <is>
          <t>Cambridge [England] ; New York : Cambridge University Press, 1988.</t>
        </is>
      </c>
      <c r="O103" t="inlineStr">
        <is>
          <t>1988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BL </t>
        </is>
      </c>
      <c r="U103" t="n">
        <v>2</v>
      </c>
      <c r="V103" t="n">
        <v>2</v>
      </c>
      <c r="W103" t="inlineStr">
        <is>
          <t>1992-07-16</t>
        </is>
      </c>
      <c r="X103" t="inlineStr">
        <is>
          <t>1992-07-16</t>
        </is>
      </c>
      <c r="Y103" t="inlineStr">
        <is>
          <t>1990-10-13</t>
        </is>
      </c>
      <c r="Z103" t="inlineStr">
        <is>
          <t>1990-10-13</t>
        </is>
      </c>
      <c r="AA103" t="n">
        <v>350</v>
      </c>
      <c r="AB103" t="n">
        <v>244</v>
      </c>
      <c r="AC103" t="n">
        <v>253</v>
      </c>
      <c r="AD103" t="n">
        <v>3</v>
      </c>
      <c r="AE103" t="n">
        <v>3</v>
      </c>
      <c r="AF103" t="n">
        <v>10</v>
      </c>
      <c r="AG103" t="n">
        <v>10</v>
      </c>
      <c r="AH103" t="n">
        <v>0</v>
      </c>
      <c r="AI103" t="n">
        <v>0</v>
      </c>
      <c r="AJ103" t="n">
        <v>3</v>
      </c>
      <c r="AK103" t="n">
        <v>3</v>
      </c>
      <c r="AL103" t="n">
        <v>7</v>
      </c>
      <c r="AM103" t="n">
        <v>7</v>
      </c>
      <c r="AN103" t="n">
        <v>2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HYPERLINK("http://catalog.hathitrust.org/Record/000919688","HathiTrust Record")</f>
        <v/>
      </c>
      <c r="AU103">
        <f>HYPERLINK("https://creighton-primo.hosted.exlibrisgroup.com/primo-explore/search?tab=default_tab&amp;search_scope=EVERYTHING&amp;vid=01CRU&amp;lang=en_US&amp;offset=0&amp;query=any,contains,991001063549702656","Catalog Record")</f>
        <v/>
      </c>
      <c r="AV103">
        <f>HYPERLINK("http://www.worldcat.org/oclc/15791932","WorldCat Record")</f>
        <v/>
      </c>
      <c r="AW103" t="inlineStr">
        <is>
          <t>836627101:eng</t>
        </is>
      </c>
      <c r="AX103" t="inlineStr">
        <is>
          <t>15791932</t>
        </is>
      </c>
      <c r="AY103" t="inlineStr">
        <is>
          <t>991001063549702656</t>
        </is>
      </c>
      <c r="AZ103" t="inlineStr">
        <is>
          <t>991001063549702656</t>
        </is>
      </c>
      <c r="BA103" t="inlineStr">
        <is>
          <t>2259865680002656</t>
        </is>
      </c>
      <c r="BB103" t="inlineStr">
        <is>
          <t>BOOK</t>
        </is>
      </c>
      <c r="BD103" t="inlineStr">
        <is>
          <t>9780521242455</t>
        </is>
      </c>
      <c r="BE103" t="inlineStr">
        <is>
          <t>32285000310531</t>
        </is>
      </c>
      <c r="BF103" t="inlineStr">
        <is>
          <t>893444561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BL245 .G47 1907</t>
        </is>
      </c>
      <c r="E104" t="inlineStr">
        <is>
          <t>0                      BL 0245000G  47          1907</t>
        </is>
      </c>
      <c r="F104" t="inlineStr">
        <is>
          <t>The Church versus science / Rev. J. Gerard.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Gerard, John, 1840-1912.</t>
        </is>
      </c>
      <c r="N104" t="inlineStr">
        <is>
          <t>London : Sands and co. ; St. Louis : B. Herder, 1907.</t>
        </is>
      </c>
      <c r="O104" t="inlineStr">
        <is>
          <t>1907</t>
        </is>
      </c>
      <c r="Q104" t="inlineStr">
        <is>
          <t>eng</t>
        </is>
      </c>
      <c r="R104" t="inlineStr">
        <is>
          <t xml:space="preserve">xx </t>
        </is>
      </c>
      <c r="S104" t="inlineStr">
        <is>
          <t>Westminster lectures, 3d series</t>
        </is>
      </c>
      <c r="T104" t="inlineStr">
        <is>
          <t xml:space="preserve">BL </t>
        </is>
      </c>
      <c r="U104" t="n">
        <v>8</v>
      </c>
      <c r="V104" t="n">
        <v>8</v>
      </c>
      <c r="W104" t="inlineStr">
        <is>
          <t>1995-04-17</t>
        </is>
      </c>
      <c r="X104" t="inlineStr">
        <is>
          <t>1995-04-17</t>
        </is>
      </c>
      <c r="Y104" t="inlineStr">
        <is>
          <t>1990-10-05</t>
        </is>
      </c>
      <c r="Z104" t="inlineStr">
        <is>
          <t>1990-10-05</t>
        </is>
      </c>
      <c r="AA104" t="n">
        <v>37</v>
      </c>
      <c r="AB104" t="n">
        <v>27</v>
      </c>
      <c r="AC104" t="n">
        <v>34</v>
      </c>
      <c r="AD104" t="n">
        <v>1</v>
      </c>
      <c r="AE104" t="n">
        <v>1</v>
      </c>
      <c r="AF104" t="n">
        <v>8</v>
      </c>
      <c r="AG104" t="n">
        <v>8</v>
      </c>
      <c r="AH104" t="n">
        <v>1</v>
      </c>
      <c r="AI104" t="n">
        <v>1</v>
      </c>
      <c r="AJ104" t="n">
        <v>2</v>
      </c>
      <c r="AK104" t="n">
        <v>2</v>
      </c>
      <c r="AL104" t="n">
        <v>6</v>
      </c>
      <c r="AM104" t="n">
        <v>6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Yes</t>
        </is>
      </c>
      <c r="AS104" t="inlineStr">
        <is>
          <t>No</t>
        </is>
      </c>
      <c r="AT104">
        <f>HYPERLINK("http://catalog.hathitrust.org/Record/100164131","HathiTrust Record")</f>
        <v/>
      </c>
      <c r="AU104">
        <f>HYPERLINK("https://creighton-primo.hosted.exlibrisgroup.com/primo-explore/search?tab=default_tab&amp;search_scope=EVERYTHING&amp;vid=01CRU&amp;lang=en_US&amp;offset=0&amp;query=any,contains,991004279819702656","Catalog Record")</f>
        <v/>
      </c>
      <c r="AV104">
        <f>HYPERLINK("http://www.worldcat.org/oclc/2906376","WorldCat Record")</f>
        <v/>
      </c>
      <c r="AW104" t="inlineStr">
        <is>
          <t>1010935205:eng</t>
        </is>
      </c>
      <c r="AX104" t="inlineStr">
        <is>
          <t>2906376</t>
        </is>
      </c>
      <c r="AY104" t="inlineStr">
        <is>
          <t>991004279819702656</t>
        </is>
      </c>
      <c r="AZ104" t="inlineStr">
        <is>
          <t>991004279819702656</t>
        </is>
      </c>
      <c r="BA104" t="inlineStr">
        <is>
          <t>2269607980002656</t>
        </is>
      </c>
      <c r="BB104" t="inlineStr">
        <is>
          <t>BOOK</t>
        </is>
      </c>
      <c r="BE104" t="inlineStr">
        <is>
          <t>32285000333848</t>
        </is>
      </c>
      <c r="BF104" t="inlineStr">
        <is>
          <t>893693741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BL245 .H63 1972</t>
        </is>
      </c>
      <c r="E105" t="inlineStr">
        <is>
          <t>0                      BL 0245000H  63          1972</t>
        </is>
      </c>
      <c r="F105" t="inlineStr">
        <is>
          <t>Religion and the rise of modern science, by R. Hooykaas.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Hooykaas, R. (Reijer), 1906-</t>
        </is>
      </c>
      <c r="N105" t="inlineStr">
        <is>
          <t>Grand Rapids, Mich., Eerdmans Pub. Co. [1972]</t>
        </is>
      </c>
      <c r="O105" t="inlineStr">
        <is>
          <t>1972</t>
        </is>
      </c>
      <c r="P105" t="inlineStr">
        <is>
          <t>[1st American ed.]</t>
        </is>
      </c>
      <c r="Q105" t="inlineStr">
        <is>
          <t>eng</t>
        </is>
      </c>
      <c r="R105" t="inlineStr">
        <is>
          <t>miu</t>
        </is>
      </c>
      <c r="T105" t="inlineStr">
        <is>
          <t xml:space="preserve">BL </t>
        </is>
      </c>
      <c r="U105" t="n">
        <v>1</v>
      </c>
      <c r="V105" t="n">
        <v>1</v>
      </c>
      <c r="W105" t="inlineStr">
        <is>
          <t>2006-12-10</t>
        </is>
      </c>
      <c r="X105" t="inlineStr">
        <is>
          <t>2006-12-10</t>
        </is>
      </c>
      <c r="Y105" t="inlineStr">
        <is>
          <t>1990-10-05</t>
        </is>
      </c>
      <c r="Z105" t="inlineStr">
        <is>
          <t>1990-10-05</t>
        </is>
      </c>
      <c r="AA105" t="n">
        <v>461</v>
      </c>
      <c r="AB105" t="n">
        <v>403</v>
      </c>
      <c r="AC105" t="n">
        <v>559</v>
      </c>
      <c r="AD105" t="n">
        <v>2</v>
      </c>
      <c r="AE105" t="n">
        <v>2</v>
      </c>
      <c r="AF105" t="n">
        <v>18</v>
      </c>
      <c r="AG105" t="n">
        <v>30</v>
      </c>
      <c r="AH105" t="n">
        <v>8</v>
      </c>
      <c r="AI105" t="n">
        <v>12</v>
      </c>
      <c r="AJ105" t="n">
        <v>2</v>
      </c>
      <c r="AK105" t="n">
        <v>7</v>
      </c>
      <c r="AL105" t="n">
        <v>11</v>
      </c>
      <c r="AM105" t="n">
        <v>16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HYPERLINK("http://catalog.hathitrust.org/Record/101870856","HathiTrust Record")</f>
        <v/>
      </c>
      <c r="AU105">
        <f>HYPERLINK("https://creighton-primo.hosted.exlibrisgroup.com/primo-explore/search?tab=default_tab&amp;search_scope=EVERYTHING&amp;vid=01CRU&amp;lang=en_US&amp;offset=0&amp;query=any,contains,991003008239702656","Catalog Record")</f>
        <v/>
      </c>
      <c r="AV105">
        <f>HYPERLINK("http://www.worldcat.org/oclc/575335","WorldCat Record")</f>
        <v/>
      </c>
      <c r="AW105" t="inlineStr">
        <is>
          <t>1551064:eng</t>
        </is>
      </c>
      <c r="AX105" t="inlineStr">
        <is>
          <t>575335</t>
        </is>
      </c>
      <c r="AY105" t="inlineStr">
        <is>
          <t>991003008239702656</t>
        </is>
      </c>
      <c r="AZ105" t="inlineStr">
        <is>
          <t>991003008239702656</t>
        </is>
      </c>
      <c r="BA105" t="inlineStr">
        <is>
          <t>2258110710002656</t>
        </is>
      </c>
      <c r="BB105" t="inlineStr">
        <is>
          <t>BOOK</t>
        </is>
      </c>
      <c r="BD105" t="inlineStr">
        <is>
          <t>9780802814746</t>
        </is>
      </c>
      <c r="BE105" t="inlineStr">
        <is>
          <t>32285000333863</t>
        </is>
      </c>
      <c r="BF105" t="inlineStr">
        <is>
          <t>893616890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BL245 .J3 1976</t>
        </is>
      </c>
      <c r="E106" t="inlineStr">
        <is>
          <t>0                      BL 0245000J  3           1976</t>
        </is>
      </c>
      <c r="F106" t="inlineStr">
        <is>
          <t>The Newtonians and the English Revolution, 1689-1720 / Margaret C. Jacob.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Jacob, Margaret C., 1943-</t>
        </is>
      </c>
      <c r="N106" t="inlineStr">
        <is>
          <t>Ithaca, N.Y. : Cornell University Press, 1976.</t>
        </is>
      </c>
      <c r="O106" t="inlineStr">
        <is>
          <t>1976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BL </t>
        </is>
      </c>
      <c r="U106" t="n">
        <v>3</v>
      </c>
      <c r="V106" t="n">
        <v>3</v>
      </c>
      <c r="W106" t="inlineStr">
        <is>
          <t>2004-04-23</t>
        </is>
      </c>
      <c r="X106" t="inlineStr">
        <is>
          <t>2004-04-23</t>
        </is>
      </c>
      <c r="Y106" t="inlineStr">
        <is>
          <t>1990-10-05</t>
        </is>
      </c>
      <c r="Z106" t="inlineStr">
        <is>
          <t>1990-10-05</t>
        </is>
      </c>
      <c r="AA106" t="n">
        <v>565</v>
      </c>
      <c r="AB106" t="n">
        <v>479</v>
      </c>
      <c r="AC106" t="n">
        <v>683</v>
      </c>
      <c r="AD106" t="n">
        <v>3</v>
      </c>
      <c r="AE106" t="n">
        <v>3</v>
      </c>
      <c r="AF106" t="n">
        <v>22</v>
      </c>
      <c r="AG106" t="n">
        <v>30</v>
      </c>
      <c r="AH106" t="n">
        <v>6</v>
      </c>
      <c r="AI106" t="n">
        <v>12</v>
      </c>
      <c r="AJ106" t="n">
        <v>7</v>
      </c>
      <c r="AK106" t="n">
        <v>9</v>
      </c>
      <c r="AL106" t="n">
        <v>12</v>
      </c>
      <c r="AM106" t="n">
        <v>16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HYPERLINK("http://catalog.hathitrust.org/Record/000701985","HathiTrust Record")</f>
        <v/>
      </c>
      <c r="AU106">
        <f>HYPERLINK("https://creighton-primo.hosted.exlibrisgroup.com/primo-explore/search?tab=default_tab&amp;search_scope=EVERYTHING&amp;vid=01CRU&amp;lang=en_US&amp;offset=0&amp;query=any,contains,991004001399702656","Catalog Record")</f>
        <v/>
      </c>
      <c r="AV106">
        <f>HYPERLINK("http://www.worldcat.org/oclc/2073982","WorldCat Record")</f>
        <v/>
      </c>
      <c r="AW106" t="inlineStr">
        <is>
          <t>3139747:eng</t>
        </is>
      </c>
      <c r="AX106" t="inlineStr">
        <is>
          <t>2073982</t>
        </is>
      </c>
      <c r="AY106" t="inlineStr">
        <is>
          <t>991004001399702656</t>
        </is>
      </c>
      <c r="AZ106" t="inlineStr">
        <is>
          <t>991004001399702656</t>
        </is>
      </c>
      <c r="BA106" t="inlineStr">
        <is>
          <t>2255289710002656</t>
        </is>
      </c>
      <c r="BB106" t="inlineStr">
        <is>
          <t>BOOK</t>
        </is>
      </c>
      <c r="BD106" t="inlineStr">
        <is>
          <t>9780801409813</t>
        </is>
      </c>
      <c r="BE106" t="inlineStr">
        <is>
          <t>32285000333889</t>
        </is>
      </c>
      <c r="BF106" t="inlineStr">
        <is>
          <t>893349497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BL245 .J66 1984</t>
        </is>
      </c>
      <c r="E107" t="inlineStr">
        <is>
          <t>0                      BL 0245000J  66          1984</t>
        </is>
      </c>
      <c r="F107" t="inlineStr">
        <is>
          <t>The redemption of matter : towards the rapprochement of science and religion / James W. Jones.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Jones, James William, 1943-</t>
        </is>
      </c>
      <c r="N107" t="inlineStr">
        <is>
          <t>Lanham, MD : University Press of America, c1984.</t>
        </is>
      </c>
      <c r="O107" t="inlineStr">
        <is>
          <t>1984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BL </t>
        </is>
      </c>
      <c r="U107" t="n">
        <v>3</v>
      </c>
      <c r="V107" t="n">
        <v>3</v>
      </c>
      <c r="W107" t="inlineStr">
        <is>
          <t>1995-11-09</t>
        </is>
      </c>
      <c r="X107" t="inlineStr">
        <is>
          <t>1995-11-09</t>
        </is>
      </c>
      <c r="Y107" t="inlineStr">
        <is>
          <t>1990-10-05</t>
        </is>
      </c>
      <c r="Z107" t="inlineStr">
        <is>
          <t>1990-10-05</t>
        </is>
      </c>
      <c r="AA107" t="n">
        <v>227</v>
      </c>
      <c r="AB107" t="n">
        <v>185</v>
      </c>
      <c r="AC107" t="n">
        <v>186</v>
      </c>
      <c r="AD107" t="n">
        <v>2</v>
      </c>
      <c r="AE107" t="n">
        <v>2</v>
      </c>
      <c r="AF107" t="n">
        <v>8</v>
      </c>
      <c r="AG107" t="n">
        <v>8</v>
      </c>
      <c r="AH107" t="n">
        <v>1</v>
      </c>
      <c r="AI107" t="n">
        <v>1</v>
      </c>
      <c r="AJ107" t="n">
        <v>2</v>
      </c>
      <c r="AK107" t="n">
        <v>2</v>
      </c>
      <c r="AL107" t="n">
        <v>6</v>
      </c>
      <c r="AM107" t="n">
        <v>6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HYPERLINK("http://catalog.hathitrust.org/Record/101934099","HathiTrust Record")</f>
        <v/>
      </c>
      <c r="AU107">
        <f>HYPERLINK("https://creighton-primo.hosted.exlibrisgroup.com/primo-explore/search?tab=default_tab&amp;search_scope=EVERYTHING&amp;vid=01CRU&amp;lang=en_US&amp;offset=0&amp;query=any,contains,991000313019702656","Catalog Record")</f>
        <v/>
      </c>
      <c r="AV107">
        <f>HYPERLINK("http://www.worldcat.org/oclc/10100800","WorldCat Record")</f>
        <v/>
      </c>
      <c r="AW107" t="inlineStr">
        <is>
          <t>478667630:eng</t>
        </is>
      </c>
      <c r="AX107" t="inlineStr">
        <is>
          <t>10100800</t>
        </is>
      </c>
      <c r="AY107" t="inlineStr">
        <is>
          <t>991000313019702656</t>
        </is>
      </c>
      <c r="AZ107" t="inlineStr">
        <is>
          <t>991000313019702656</t>
        </is>
      </c>
      <c r="BA107" t="inlineStr">
        <is>
          <t>2256171440002656</t>
        </is>
      </c>
      <c r="BB107" t="inlineStr">
        <is>
          <t>BOOK</t>
        </is>
      </c>
      <c r="BD107" t="inlineStr">
        <is>
          <t>9780819136763</t>
        </is>
      </c>
      <c r="BE107" t="inlineStr">
        <is>
          <t>32285000333897</t>
        </is>
      </c>
      <c r="BF107" t="inlineStr">
        <is>
          <t>893515174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BL245 .K52</t>
        </is>
      </c>
      <c r="E108" t="inlineStr">
        <is>
          <t>0                      BL 0245000K  52</t>
        </is>
      </c>
      <c r="F108" t="inlineStr">
        <is>
          <t>Religious origins of modern science : belief in creation in seventeenth-century thought / by Eugene M. Klaaren.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Klaaren, Eugene M. (Eugene Marion), 1937-</t>
        </is>
      </c>
      <c r="N108" t="inlineStr">
        <is>
          <t>Grand Rapids : Eerdmans, c1977.</t>
        </is>
      </c>
      <c r="O108" t="inlineStr">
        <is>
          <t>1977</t>
        </is>
      </c>
      <c r="Q108" t="inlineStr">
        <is>
          <t>eng</t>
        </is>
      </c>
      <c r="R108" t="inlineStr">
        <is>
          <t>miu</t>
        </is>
      </c>
      <c r="T108" t="inlineStr">
        <is>
          <t xml:space="preserve">BL </t>
        </is>
      </c>
      <c r="U108" t="n">
        <v>8</v>
      </c>
      <c r="V108" t="n">
        <v>8</v>
      </c>
      <c r="W108" t="inlineStr">
        <is>
          <t>2005-11-20</t>
        </is>
      </c>
      <c r="X108" t="inlineStr">
        <is>
          <t>2005-11-20</t>
        </is>
      </c>
      <c r="Y108" t="inlineStr">
        <is>
          <t>1990-10-05</t>
        </is>
      </c>
      <c r="Z108" t="inlineStr">
        <is>
          <t>1990-10-05</t>
        </is>
      </c>
      <c r="AA108" t="n">
        <v>729</v>
      </c>
      <c r="AB108" t="n">
        <v>625</v>
      </c>
      <c r="AC108" t="n">
        <v>666</v>
      </c>
      <c r="AD108" t="n">
        <v>7</v>
      </c>
      <c r="AE108" t="n">
        <v>8</v>
      </c>
      <c r="AF108" t="n">
        <v>36</v>
      </c>
      <c r="AG108" t="n">
        <v>38</v>
      </c>
      <c r="AH108" t="n">
        <v>14</v>
      </c>
      <c r="AI108" t="n">
        <v>14</v>
      </c>
      <c r="AJ108" t="n">
        <v>9</v>
      </c>
      <c r="AK108" t="n">
        <v>10</v>
      </c>
      <c r="AL108" t="n">
        <v>17</v>
      </c>
      <c r="AM108" t="n">
        <v>18</v>
      </c>
      <c r="AN108" t="n">
        <v>5</v>
      </c>
      <c r="AO108" t="n">
        <v>6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HYPERLINK("http://catalog.hathitrust.org/Record/000127489","HathiTrust Record")</f>
        <v/>
      </c>
      <c r="AU108">
        <f>HYPERLINK("https://creighton-primo.hosted.exlibrisgroup.com/primo-explore/search?tab=default_tab&amp;search_scope=EVERYTHING&amp;vid=01CRU&amp;lang=en_US&amp;offset=0&amp;query=any,contains,991005253949702656","Catalog Record")</f>
        <v/>
      </c>
      <c r="AV108">
        <f>HYPERLINK("http://www.worldcat.org/oclc/2614227","WorldCat Record")</f>
        <v/>
      </c>
      <c r="AW108" t="inlineStr">
        <is>
          <t>1060482962:eng</t>
        </is>
      </c>
      <c r="AX108" t="inlineStr">
        <is>
          <t>2614227</t>
        </is>
      </c>
      <c r="AY108" t="inlineStr">
        <is>
          <t>991005253949702656</t>
        </is>
      </c>
      <c r="AZ108" t="inlineStr">
        <is>
          <t>991005253949702656</t>
        </is>
      </c>
      <c r="BA108" t="inlineStr">
        <is>
          <t>2266045850002656</t>
        </is>
      </c>
      <c r="BB108" t="inlineStr">
        <is>
          <t>BOOK</t>
        </is>
      </c>
      <c r="BD108" t="inlineStr">
        <is>
          <t>9780802816832</t>
        </is>
      </c>
      <c r="BE108" t="inlineStr">
        <is>
          <t>32285000333905</t>
        </is>
      </c>
      <c r="BF108" t="inlineStr">
        <is>
          <t>893533454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BL245 .K6</t>
        </is>
      </c>
      <c r="E109" t="inlineStr">
        <is>
          <t>0                      BL 0245000K  6</t>
        </is>
      </c>
      <c r="F109" t="inlineStr">
        <is>
          <t>Science and religion in Elizabethan England, by Paul H. Kocher.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Kocher, Paul H. (Paul Harold), 1907-1998.</t>
        </is>
      </c>
      <c r="N109" t="inlineStr">
        <is>
          <t>San Marino, Calif., Huntington Library, 1953.</t>
        </is>
      </c>
      <c r="O109" t="inlineStr">
        <is>
          <t>1953</t>
        </is>
      </c>
      <c r="Q109" t="inlineStr">
        <is>
          <t>eng</t>
        </is>
      </c>
      <c r="R109" t="inlineStr">
        <is>
          <t>___</t>
        </is>
      </c>
      <c r="S109" t="inlineStr">
        <is>
          <t>Huntington Library publications</t>
        </is>
      </c>
      <c r="T109" t="inlineStr">
        <is>
          <t xml:space="preserve">BL </t>
        </is>
      </c>
      <c r="U109" t="n">
        <v>2</v>
      </c>
      <c r="V109" t="n">
        <v>2</v>
      </c>
      <c r="W109" t="inlineStr">
        <is>
          <t>2006-10-01</t>
        </is>
      </c>
      <c r="X109" t="inlineStr">
        <is>
          <t>2006-10-01</t>
        </is>
      </c>
      <c r="Y109" t="inlineStr">
        <is>
          <t>1990-10-05</t>
        </is>
      </c>
      <c r="Z109" t="inlineStr">
        <is>
          <t>1990-10-05</t>
        </is>
      </c>
      <c r="AA109" t="n">
        <v>425</v>
      </c>
      <c r="AB109" t="n">
        <v>358</v>
      </c>
      <c r="AC109" t="n">
        <v>653</v>
      </c>
      <c r="AD109" t="n">
        <v>4</v>
      </c>
      <c r="AE109" t="n">
        <v>4</v>
      </c>
      <c r="AF109" t="n">
        <v>24</v>
      </c>
      <c r="AG109" t="n">
        <v>34</v>
      </c>
      <c r="AH109" t="n">
        <v>9</v>
      </c>
      <c r="AI109" t="n">
        <v>14</v>
      </c>
      <c r="AJ109" t="n">
        <v>5</v>
      </c>
      <c r="AK109" t="n">
        <v>8</v>
      </c>
      <c r="AL109" t="n">
        <v>13</v>
      </c>
      <c r="AM109" t="n">
        <v>19</v>
      </c>
      <c r="AN109" t="n">
        <v>3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HYPERLINK("http://catalog.hathitrust.org/Record/001392002","HathiTrust Record")</f>
        <v/>
      </c>
      <c r="AU109">
        <f>HYPERLINK("https://creighton-primo.hosted.exlibrisgroup.com/primo-explore/search?tab=default_tab&amp;search_scope=EVERYTHING&amp;vid=01CRU&amp;lang=en_US&amp;offset=0&amp;query=any,contains,991003561189702656","Catalog Record")</f>
        <v/>
      </c>
      <c r="AV109">
        <f>HYPERLINK("http://www.worldcat.org/oclc/1131847","WorldCat Record")</f>
        <v/>
      </c>
      <c r="AW109" t="inlineStr">
        <is>
          <t>1182433:eng</t>
        </is>
      </c>
      <c r="AX109" t="inlineStr">
        <is>
          <t>1131847</t>
        </is>
      </c>
      <c r="AY109" t="inlineStr">
        <is>
          <t>991003561189702656</t>
        </is>
      </c>
      <c r="AZ109" t="inlineStr">
        <is>
          <t>991003561189702656</t>
        </is>
      </c>
      <c r="BA109" t="inlineStr">
        <is>
          <t>2265071760002656</t>
        </is>
      </c>
      <c r="BB109" t="inlineStr">
        <is>
          <t>BOOK</t>
        </is>
      </c>
      <c r="BE109" t="inlineStr">
        <is>
          <t>32285000333913</t>
        </is>
      </c>
      <c r="BF109" t="inlineStr">
        <is>
          <t>893686648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BL245 .K63 1968b</t>
        </is>
      </c>
      <c r="E110" t="inlineStr">
        <is>
          <t>0                      BL 0245000K  63          1968b</t>
        </is>
      </c>
      <c r="F110" t="inlineStr">
        <is>
          <t>The sleepwalkers. With an introd. by Herbert Butterfield and with a new pref. by the author.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Koestler, Arthur, 1905-1983.</t>
        </is>
      </c>
      <c r="N110" t="inlineStr">
        <is>
          <t>New York, Macmillan [1968]</t>
        </is>
      </c>
      <c r="O110" t="inlineStr">
        <is>
          <t>1968</t>
        </is>
      </c>
      <c r="P110" t="inlineStr">
        <is>
          <t>[1st American ed.]</t>
        </is>
      </c>
      <c r="Q110" t="inlineStr">
        <is>
          <t>eng</t>
        </is>
      </c>
      <c r="R110" t="inlineStr">
        <is>
          <t>nyu</t>
        </is>
      </c>
      <c r="S110" t="inlineStr">
        <is>
          <t>Danube edition</t>
        </is>
      </c>
      <c r="T110" t="inlineStr">
        <is>
          <t xml:space="preserve">BL </t>
        </is>
      </c>
      <c r="U110" t="n">
        <v>2</v>
      </c>
      <c r="V110" t="n">
        <v>2</v>
      </c>
      <c r="W110" t="inlineStr">
        <is>
          <t>2006-06-30</t>
        </is>
      </c>
      <c r="X110" t="inlineStr">
        <is>
          <t>2006-06-30</t>
        </is>
      </c>
      <c r="Y110" t="inlineStr">
        <is>
          <t>1990-10-05</t>
        </is>
      </c>
      <c r="Z110" t="inlineStr">
        <is>
          <t>1990-10-05</t>
        </is>
      </c>
      <c r="AA110" t="n">
        <v>372</v>
      </c>
      <c r="AB110" t="n">
        <v>354</v>
      </c>
      <c r="AC110" t="n">
        <v>406</v>
      </c>
      <c r="AD110" t="n">
        <v>2</v>
      </c>
      <c r="AE110" t="n">
        <v>2</v>
      </c>
      <c r="AF110" t="n">
        <v>12</v>
      </c>
      <c r="AG110" t="n">
        <v>15</v>
      </c>
      <c r="AH110" t="n">
        <v>5</v>
      </c>
      <c r="AI110" t="n">
        <v>5</v>
      </c>
      <c r="AJ110" t="n">
        <v>3</v>
      </c>
      <c r="AK110" t="n">
        <v>4</v>
      </c>
      <c r="AL110" t="n">
        <v>7</v>
      </c>
      <c r="AM110" t="n">
        <v>9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HYPERLINK("http://catalog.hathitrust.org/Record/001473454","HathiTrust Record")</f>
        <v/>
      </c>
      <c r="AU110">
        <f>HYPERLINK("https://creighton-primo.hosted.exlibrisgroup.com/primo-explore/search?tab=default_tab&amp;search_scope=EVERYTHING&amp;vid=01CRU&amp;lang=en_US&amp;offset=0&amp;query=any,contains,991002803439702656","Catalog Record")</f>
        <v/>
      </c>
      <c r="AV110">
        <f>HYPERLINK("http://www.worldcat.org/oclc/448617","WorldCat Record")</f>
        <v/>
      </c>
      <c r="AW110" t="inlineStr">
        <is>
          <t>3901047254:eng</t>
        </is>
      </c>
      <c r="AX110" t="inlineStr">
        <is>
          <t>448617</t>
        </is>
      </c>
      <c r="AY110" t="inlineStr">
        <is>
          <t>991002803439702656</t>
        </is>
      </c>
      <c r="AZ110" t="inlineStr">
        <is>
          <t>991002803439702656</t>
        </is>
      </c>
      <c r="BA110" t="inlineStr">
        <is>
          <t>2266630990002656</t>
        </is>
      </c>
      <c r="BB110" t="inlineStr">
        <is>
          <t>BOOK</t>
        </is>
      </c>
      <c r="BE110" t="inlineStr">
        <is>
          <t>32285000333921</t>
        </is>
      </c>
      <c r="BF110" t="inlineStr">
        <is>
          <t>893893019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BL245 .N43 1981</t>
        </is>
      </c>
      <c r="E111" t="inlineStr">
        <is>
          <t>0                      BL 0245000N  43          1981</t>
        </is>
      </c>
      <c r="F111" t="inlineStr">
        <is>
          <t>Theology and science in mutual modification / by Harold P. Nebelsick.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Nebelsick, Harold P., 1925-</t>
        </is>
      </c>
      <c r="N111" t="inlineStr">
        <is>
          <t>New York : Oxford University Press, 1981.</t>
        </is>
      </c>
      <c r="O111" t="inlineStr">
        <is>
          <t>1981</t>
        </is>
      </c>
      <c r="Q111" t="inlineStr">
        <is>
          <t>eng</t>
        </is>
      </c>
      <c r="R111" t="inlineStr">
        <is>
          <t>nyu</t>
        </is>
      </c>
      <c r="S111" t="inlineStr">
        <is>
          <t>Theology and scientific culture ; 2</t>
        </is>
      </c>
      <c r="T111" t="inlineStr">
        <is>
          <t xml:space="preserve">BL </t>
        </is>
      </c>
      <c r="U111" t="n">
        <v>5</v>
      </c>
      <c r="V111" t="n">
        <v>5</v>
      </c>
      <c r="W111" t="inlineStr">
        <is>
          <t>1999-10-27</t>
        </is>
      </c>
      <c r="X111" t="inlineStr">
        <is>
          <t>1999-10-27</t>
        </is>
      </c>
      <c r="Y111" t="inlineStr">
        <is>
          <t>1990-10-05</t>
        </is>
      </c>
      <c r="Z111" t="inlineStr">
        <is>
          <t>1990-10-05</t>
        </is>
      </c>
      <c r="AA111" t="n">
        <v>366</v>
      </c>
      <c r="AB111" t="n">
        <v>325</v>
      </c>
      <c r="AC111" t="n">
        <v>343</v>
      </c>
      <c r="AD111" t="n">
        <v>3</v>
      </c>
      <c r="AE111" t="n">
        <v>4</v>
      </c>
      <c r="AF111" t="n">
        <v>20</v>
      </c>
      <c r="AG111" t="n">
        <v>22</v>
      </c>
      <c r="AH111" t="n">
        <v>5</v>
      </c>
      <c r="AI111" t="n">
        <v>5</v>
      </c>
      <c r="AJ111" t="n">
        <v>5</v>
      </c>
      <c r="AK111" t="n">
        <v>6</v>
      </c>
      <c r="AL111" t="n">
        <v>13</v>
      </c>
      <c r="AM111" t="n">
        <v>13</v>
      </c>
      <c r="AN111" t="n">
        <v>2</v>
      </c>
      <c r="AO111" t="n">
        <v>3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HYPERLINK("http://catalog.hathitrust.org/Record/101927660","HathiTrust Record")</f>
        <v/>
      </c>
      <c r="AU111">
        <f>HYPERLINK("https://creighton-primo.hosted.exlibrisgroup.com/primo-explore/search?tab=default_tab&amp;search_scope=EVERYTHING&amp;vid=01CRU&amp;lang=en_US&amp;offset=0&amp;query=any,contains,991005176359702656","Catalog Record")</f>
        <v/>
      </c>
      <c r="AV111">
        <f>HYPERLINK("http://www.worldcat.org/oclc/7923415","WorldCat Record")</f>
        <v/>
      </c>
      <c r="AW111" t="inlineStr">
        <is>
          <t>415452:eng</t>
        </is>
      </c>
      <c r="AX111" t="inlineStr">
        <is>
          <t>7923415</t>
        </is>
      </c>
      <c r="AY111" t="inlineStr">
        <is>
          <t>991005176359702656</t>
        </is>
      </c>
      <c r="AZ111" t="inlineStr">
        <is>
          <t>991005176359702656</t>
        </is>
      </c>
      <c r="BA111" t="inlineStr">
        <is>
          <t>2269234400002656</t>
        </is>
      </c>
      <c r="BB111" t="inlineStr">
        <is>
          <t>BOOK</t>
        </is>
      </c>
      <c r="BD111" t="inlineStr">
        <is>
          <t>9780195202731</t>
        </is>
      </c>
      <c r="BE111" t="inlineStr">
        <is>
          <t>32285000333947</t>
        </is>
      </c>
      <c r="BF111" t="inlineStr">
        <is>
          <t>893514175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BL245 .R83 1985</t>
        </is>
      </c>
      <c r="E112" t="inlineStr">
        <is>
          <t>0                      BL 0245000R  83          1985</t>
        </is>
      </c>
      <c r="F112" t="inlineStr">
        <is>
          <t>Cross-currents : interactions between science and faith / by Colin A. Russell.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Russell, Colin Archibald.</t>
        </is>
      </c>
      <c r="N112" t="inlineStr">
        <is>
          <t>Grand Rapids, Mich. : W.B. Eerdmans Pub. Co., 1985.</t>
        </is>
      </c>
      <c r="O112" t="inlineStr">
        <is>
          <t>1985</t>
        </is>
      </c>
      <c r="Q112" t="inlineStr">
        <is>
          <t>eng</t>
        </is>
      </c>
      <c r="R112" t="inlineStr">
        <is>
          <t>miu</t>
        </is>
      </c>
      <c r="T112" t="inlineStr">
        <is>
          <t xml:space="preserve">BL </t>
        </is>
      </c>
      <c r="U112" t="n">
        <v>4</v>
      </c>
      <c r="V112" t="n">
        <v>4</v>
      </c>
      <c r="W112" t="inlineStr">
        <is>
          <t>1996-02-11</t>
        </is>
      </c>
      <c r="X112" t="inlineStr">
        <is>
          <t>1996-02-11</t>
        </is>
      </c>
      <c r="Y112" t="inlineStr">
        <is>
          <t>1990-10-05</t>
        </is>
      </c>
      <c r="Z112" t="inlineStr">
        <is>
          <t>1990-10-05</t>
        </is>
      </c>
      <c r="AA112" t="n">
        <v>291</v>
      </c>
      <c r="AB112" t="n">
        <v>256</v>
      </c>
      <c r="AC112" t="n">
        <v>309</v>
      </c>
      <c r="AD112" t="n">
        <v>2</v>
      </c>
      <c r="AE112" t="n">
        <v>2</v>
      </c>
      <c r="AF112" t="n">
        <v>14</v>
      </c>
      <c r="AG112" t="n">
        <v>18</v>
      </c>
      <c r="AH112" t="n">
        <v>6</v>
      </c>
      <c r="AI112" t="n">
        <v>8</v>
      </c>
      <c r="AJ112" t="n">
        <v>0</v>
      </c>
      <c r="AK112" t="n">
        <v>1</v>
      </c>
      <c r="AL112" t="n">
        <v>9</v>
      </c>
      <c r="AM112" t="n">
        <v>11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HYPERLINK("https://creighton-primo.hosted.exlibrisgroup.com/primo-explore/search?tab=default_tab&amp;search_scope=EVERYTHING&amp;vid=01CRU&amp;lang=en_US&amp;offset=0&amp;query=any,contains,991000627949702656","Catalog Record")</f>
        <v/>
      </c>
      <c r="AV112">
        <f>HYPERLINK("http://www.worldcat.org/oclc/12050202","WorldCat Record")</f>
        <v/>
      </c>
      <c r="AW112" t="inlineStr">
        <is>
          <t>4345326:eng</t>
        </is>
      </c>
      <c r="AX112" t="inlineStr">
        <is>
          <t>12050202</t>
        </is>
      </c>
      <c r="AY112" t="inlineStr">
        <is>
          <t>991000627949702656</t>
        </is>
      </c>
      <c r="AZ112" t="inlineStr">
        <is>
          <t>991000627949702656</t>
        </is>
      </c>
      <c r="BA112" t="inlineStr">
        <is>
          <t>2266906760002656</t>
        </is>
      </c>
      <c r="BB112" t="inlineStr">
        <is>
          <t>BOOK</t>
        </is>
      </c>
      <c r="BD112" t="inlineStr">
        <is>
          <t>9780802801630</t>
        </is>
      </c>
      <c r="BE112" t="inlineStr">
        <is>
          <t>32285000334010</t>
        </is>
      </c>
      <c r="BF112" t="inlineStr">
        <is>
          <t>893231271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BL245 .T87</t>
        </is>
      </c>
      <c r="E113" t="inlineStr">
        <is>
          <t>0                      BL 0245000T  87</t>
        </is>
      </c>
      <c r="F113" t="inlineStr">
        <is>
          <t>Between science and religion; the reaction to scientific naturalism in late Victorian England.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Turner, Frank M. (Frank Miller), 1944-2010.</t>
        </is>
      </c>
      <c r="N113" t="inlineStr">
        <is>
          <t>New Haven, Yale University Press, 1974.</t>
        </is>
      </c>
      <c r="O113" t="inlineStr">
        <is>
          <t>1974</t>
        </is>
      </c>
      <c r="Q113" t="inlineStr">
        <is>
          <t>eng</t>
        </is>
      </c>
      <c r="R113" t="inlineStr">
        <is>
          <t>ctu</t>
        </is>
      </c>
      <c r="S113" t="inlineStr">
        <is>
          <t>Yale historical publications. Miscellany ; 100</t>
        </is>
      </c>
      <c r="T113" t="inlineStr">
        <is>
          <t xml:space="preserve">BL </t>
        </is>
      </c>
      <c r="U113" t="n">
        <v>3</v>
      </c>
      <c r="V113" t="n">
        <v>3</v>
      </c>
      <c r="W113" t="inlineStr">
        <is>
          <t>1997-11-16</t>
        </is>
      </c>
      <c r="X113" t="inlineStr">
        <is>
          <t>1997-11-16</t>
        </is>
      </c>
      <c r="Y113" t="inlineStr">
        <is>
          <t>1990-10-05</t>
        </is>
      </c>
      <c r="Z113" t="inlineStr">
        <is>
          <t>1990-10-05</t>
        </is>
      </c>
      <c r="AA113" t="n">
        <v>737</v>
      </c>
      <c r="AB113" t="n">
        <v>559</v>
      </c>
      <c r="AC113" t="n">
        <v>559</v>
      </c>
      <c r="AD113" t="n">
        <v>4</v>
      </c>
      <c r="AE113" t="n">
        <v>4</v>
      </c>
      <c r="AF113" t="n">
        <v>21</v>
      </c>
      <c r="AG113" t="n">
        <v>21</v>
      </c>
      <c r="AH113" t="n">
        <v>3</v>
      </c>
      <c r="AI113" t="n">
        <v>3</v>
      </c>
      <c r="AJ113" t="n">
        <v>6</v>
      </c>
      <c r="AK113" t="n">
        <v>6</v>
      </c>
      <c r="AL113" t="n">
        <v>14</v>
      </c>
      <c r="AM113" t="n">
        <v>14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HYPERLINK("https://creighton-primo.hosted.exlibrisgroup.com/primo-explore/search?tab=default_tab&amp;search_scope=EVERYTHING&amp;vid=01CRU&amp;lang=en_US&amp;offset=0&amp;query=any,contains,991003293079702656","Catalog Record")</f>
        <v/>
      </c>
      <c r="AV113">
        <f>HYPERLINK("http://www.worldcat.org/oclc/814699","WorldCat Record")</f>
        <v/>
      </c>
      <c r="AW113" t="inlineStr">
        <is>
          <t>807217487:eng</t>
        </is>
      </c>
      <c r="AX113" t="inlineStr">
        <is>
          <t>814699</t>
        </is>
      </c>
      <c r="AY113" t="inlineStr">
        <is>
          <t>991003293079702656</t>
        </is>
      </c>
      <c r="AZ113" t="inlineStr">
        <is>
          <t>991003293079702656</t>
        </is>
      </c>
      <c r="BA113" t="inlineStr">
        <is>
          <t>2270167620002656</t>
        </is>
      </c>
      <c r="BB113" t="inlineStr">
        <is>
          <t>BOOK</t>
        </is>
      </c>
      <c r="BD113" t="inlineStr">
        <is>
          <t>9780300016789</t>
        </is>
      </c>
      <c r="BE113" t="inlineStr">
        <is>
          <t>32285000333988</t>
        </is>
      </c>
      <c r="BF113" t="inlineStr">
        <is>
          <t>893598449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BL2480.I2 O35 1987</t>
        </is>
      </c>
      <c r="E114" t="inlineStr">
        <is>
          <t>0                      BL 2480000I  2                  O  35          1987</t>
        </is>
      </c>
      <c r="F114" t="inlineStr">
        <is>
          <t>The meaning of religious conversion in Africa : the case of the Igbo of Nigeria / Cyril C. Okorọcha.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Okorọcha, Cyril C. (Cyril Chukwunonyerem), 1948-</t>
        </is>
      </c>
      <c r="N114" t="inlineStr">
        <is>
          <t>Aldershot [England] ; Brookfield, USA : Avebury, c1987.</t>
        </is>
      </c>
      <c r="O114" t="inlineStr">
        <is>
          <t>1987</t>
        </is>
      </c>
      <c r="Q114" t="inlineStr">
        <is>
          <t>eng</t>
        </is>
      </c>
      <c r="R114" t="inlineStr">
        <is>
          <t>enk</t>
        </is>
      </c>
      <c r="T114" t="inlineStr">
        <is>
          <t xml:space="preserve">BL </t>
        </is>
      </c>
      <c r="U114" t="n">
        <v>3</v>
      </c>
      <c r="V114" t="n">
        <v>3</v>
      </c>
      <c r="W114" t="inlineStr">
        <is>
          <t>2001-04-14</t>
        </is>
      </c>
      <c r="X114" t="inlineStr">
        <is>
          <t>2001-04-14</t>
        </is>
      </c>
      <c r="Y114" t="inlineStr">
        <is>
          <t>1993-11-04</t>
        </is>
      </c>
      <c r="Z114" t="inlineStr">
        <is>
          <t>1993-11-04</t>
        </is>
      </c>
      <c r="AA114" t="n">
        <v>172</v>
      </c>
      <c r="AB114" t="n">
        <v>112</v>
      </c>
      <c r="AC114" t="n">
        <v>114</v>
      </c>
      <c r="AD114" t="n">
        <v>2</v>
      </c>
      <c r="AE114" t="n">
        <v>2</v>
      </c>
      <c r="AF114" t="n">
        <v>4</v>
      </c>
      <c r="AG114" t="n">
        <v>4</v>
      </c>
      <c r="AH114" t="n">
        <v>0</v>
      </c>
      <c r="AI114" t="n">
        <v>0</v>
      </c>
      <c r="AJ114" t="n">
        <v>0</v>
      </c>
      <c r="AK114" t="n">
        <v>0</v>
      </c>
      <c r="AL114" t="n">
        <v>3</v>
      </c>
      <c r="AM114" t="n">
        <v>3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HYPERLINK("http://catalog.hathitrust.org/Record/000882135","HathiTrust Record")</f>
        <v/>
      </c>
      <c r="AU114">
        <f>HYPERLINK("https://creighton-primo.hosted.exlibrisgroup.com/primo-explore/search?tab=default_tab&amp;search_scope=EVERYTHING&amp;vid=01CRU&amp;lang=en_US&amp;offset=0&amp;query=any,contains,991001031759702656","Catalog Record")</f>
        <v/>
      </c>
      <c r="AV114">
        <f>HYPERLINK("http://www.worldcat.org/oclc/15518928","WorldCat Record")</f>
        <v/>
      </c>
      <c r="AW114" t="inlineStr">
        <is>
          <t>10153078:eng</t>
        </is>
      </c>
      <c r="AX114" t="inlineStr">
        <is>
          <t>15518928</t>
        </is>
      </c>
      <c r="AY114" t="inlineStr">
        <is>
          <t>991001031759702656</t>
        </is>
      </c>
      <c r="AZ114" t="inlineStr">
        <is>
          <t>991001031759702656</t>
        </is>
      </c>
      <c r="BA114" t="inlineStr">
        <is>
          <t>2264749130002656</t>
        </is>
      </c>
      <c r="BB114" t="inlineStr">
        <is>
          <t>BOOK</t>
        </is>
      </c>
      <c r="BD114" t="inlineStr">
        <is>
          <t>9780566050305</t>
        </is>
      </c>
      <c r="BE114" t="inlineStr">
        <is>
          <t>32285001810232</t>
        </is>
      </c>
      <c r="BF114" t="inlineStr">
        <is>
          <t>893528610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BL2480.N46 L56</t>
        </is>
      </c>
      <c r="E115" t="inlineStr">
        <is>
          <t>0                      BL 2480000N  46                 L  56</t>
        </is>
      </c>
      <c r="F115" t="inlineStr">
        <is>
          <t>Priests, warriors, and cattle : a study in the ecology of religions / Bruce Lincoln.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Lincoln, Bruce.</t>
        </is>
      </c>
      <c r="N115" t="inlineStr">
        <is>
          <t>Berkeley : University of California Press, c1981.</t>
        </is>
      </c>
      <c r="O115" t="inlineStr">
        <is>
          <t>1980</t>
        </is>
      </c>
      <c r="Q115" t="inlineStr">
        <is>
          <t>eng</t>
        </is>
      </c>
      <c r="R115" t="inlineStr">
        <is>
          <t>cau</t>
        </is>
      </c>
      <c r="S115" t="inlineStr">
        <is>
          <t>Hermeneutics, studies in the history of religions ; v. 10</t>
        </is>
      </c>
      <c r="T115" t="inlineStr">
        <is>
          <t xml:space="preserve">BL </t>
        </is>
      </c>
      <c r="U115" t="n">
        <v>5</v>
      </c>
      <c r="V115" t="n">
        <v>5</v>
      </c>
      <c r="W115" t="inlineStr">
        <is>
          <t>2006-04-03</t>
        </is>
      </c>
      <c r="X115" t="inlineStr">
        <is>
          <t>2006-04-03</t>
        </is>
      </c>
      <c r="Y115" t="inlineStr">
        <is>
          <t>1990-10-18</t>
        </is>
      </c>
      <c r="Z115" t="inlineStr">
        <is>
          <t>1990-10-18</t>
        </is>
      </c>
      <c r="AA115" t="n">
        <v>499</v>
      </c>
      <c r="AB115" t="n">
        <v>412</v>
      </c>
      <c r="AC115" t="n">
        <v>426</v>
      </c>
      <c r="AD115" t="n">
        <v>2</v>
      </c>
      <c r="AE115" t="n">
        <v>2</v>
      </c>
      <c r="AF115" t="n">
        <v>19</v>
      </c>
      <c r="AG115" t="n">
        <v>19</v>
      </c>
      <c r="AH115" t="n">
        <v>3</v>
      </c>
      <c r="AI115" t="n">
        <v>3</v>
      </c>
      <c r="AJ115" t="n">
        <v>6</v>
      </c>
      <c r="AK115" t="n">
        <v>6</v>
      </c>
      <c r="AL115" t="n">
        <v>11</v>
      </c>
      <c r="AM115" t="n">
        <v>11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HYPERLINK("https://creighton-primo.hosted.exlibrisgroup.com/primo-explore/search?tab=default_tab&amp;search_scope=EVERYTHING&amp;vid=01CRU&amp;lang=en_US&amp;offset=0&amp;query=any,contains,991004927049702656","Catalog Record")</f>
        <v/>
      </c>
      <c r="AV115">
        <f>HYPERLINK("http://www.worldcat.org/oclc/6086687","WorldCat Record")</f>
        <v/>
      </c>
      <c r="AW115" t="inlineStr">
        <is>
          <t>221922117:eng</t>
        </is>
      </c>
      <c r="AX115" t="inlineStr">
        <is>
          <t>6086687</t>
        </is>
      </c>
      <c r="AY115" t="inlineStr">
        <is>
          <t>991004927049702656</t>
        </is>
      </c>
      <c r="AZ115" t="inlineStr">
        <is>
          <t>991004927049702656</t>
        </is>
      </c>
      <c r="BA115" t="inlineStr">
        <is>
          <t>2257816110002656</t>
        </is>
      </c>
      <c r="BB115" t="inlineStr">
        <is>
          <t>BOOK</t>
        </is>
      </c>
      <c r="BE115" t="inlineStr">
        <is>
          <t>32285000352038</t>
        </is>
      </c>
      <c r="BF115" t="inlineStr">
        <is>
          <t>893412086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BL2480.Z4 F79 1976</t>
        </is>
      </c>
      <c r="E116" t="inlineStr">
        <is>
          <t>0                      BL 2480000Z  4                  F  79          1976</t>
        </is>
      </c>
      <c r="F116" t="inlineStr">
        <is>
          <t>Spirits of protest : spirit-mediums and the articulation of consensus among the Zezuru of Southern Rhodesia (Zimbabwe) / Peter Fry.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Fry, Peter.</t>
        </is>
      </c>
      <c r="N116" t="inlineStr">
        <is>
          <t>Cambridge, Eng. ; New York : Cambridge University Press, c1976.</t>
        </is>
      </c>
      <c r="O116" t="inlineStr">
        <is>
          <t>1976</t>
        </is>
      </c>
      <c r="Q116" t="inlineStr">
        <is>
          <t>eng</t>
        </is>
      </c>
      <c r="R116" t="inlineStr">
        <is>
          <t>enk</t>
        </is>
      </c>
      <c r="S116" t="inlineStr">
        <is>
          <t>Cambridge studies in social anthropology ; 14</t>
        </is>
      </c>
      <c r="T116" t="inlineStr">
        <is>
          <t xml:space="preserve">BL </t>
        </is>
      </c>
      <c r="U116" t="n">
        <v>2</v>
      </c>
      <c r="V116" t="n">
        <v>2</v>
      </c>
      <c r="W116" t="inlineStr">
        <is>
          <t>1999-02-05</t>
        </is>
      </c>
      <c r="X116" t="inlineStr">
        <is>
          <t>1999-02-05</t>
        </is>
      </c>
      <c r="Y116" t="inlineStr">
        <is>
          <t>1990-10-18</t>
        </is>
      </c>
      <c r="Z116" t="inlineStr">
        <is>
          <t>1990-10-18</t>
        </is>
      </c>
      <c r="AA116" t="n">
        <v>477</v>
      </c>
      <c r="AB116" t="n">
        <v>323</v>
      </c>
      <c r="AC116" t="n">
        <v>339</v>
      </c>
      <c r="AD116" t="n">
        <v>3</v>
      </c>
      <c r="AE116" t="n">
        <v>3</v>
      </c>
      <c r="AF116" t="n">
        <v>11</v>
      </c>
      <c r="AG116" t="n">
        <v>11</v>
      </c>
      <c r="AH116" t="n">
        <v>2</v>
      </c>
      <c r="AI116" t="n">
        <v>2</v>
      </c>
      <c r="AJ116" t="n">
        <v>3</v>
      </c>
      <c r="AK116" t="n">
        <v>3</v>
      </c>
      <c r="AL116" t="n">
        <v>6</v>
      </c>
      <c r="AM116" t="n">
        <v>6</v>
      </c>
      <c r="AN116" t="n">
        <v>2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HYPERLINK("https://creighton-primo.hosted.exlibrisgroup.com/primo-explore/search?tab=default_tab&amp;search_scope=EVERYTHING&amp;vid=01CRU&amp;lang=en_US&amp;offset=0&amp;query=any,contains,991003898689702656","Catalog Record")</f>
        <v/>
      </c>
      <c r="AV116">
        <f>HYPERLINK("http://www.worldcat.org/oclc/1818190","WorldCat Record")</f>
        <v/>
      </c>
      <c r="AW116" t="inlineStr">
        <is>
          <t>346768086:eng</t>
        </is>
      </c>
      <c r="AX116" t="inlineStr">
        <is>
          <t>1818190</t>
        </is>
      </c>
      <c r="AY116" t="inlineStr">
        <is>
          <t>991003898689702656</t>
        </is>
      </c>
      <c r="AZ116" t="inlineStr">
        <is>
          <t>991003898689702656</t>
        </is>
      </c>
      <c r="BA116" t="inlineStr">
        <is>
          <t>2267547710002656</t>
        </is>
      </c>
      <c r="BB116" t="inlineStr">
        <is>
          <t>BOOK</t>
        </is>
      </c>
      <c r="BD116" t="inlineStr">
        <is>
          <t>9780521210522</t>
        </is>
      </c>
      <c r="BE116" t="inlineStr">
        <is>
          <t>32285000352053</t>
        </is>
      </c>
      <c r="BF116" t="inlineStr">
        <is>
          <t>893441927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BL25 .C3 1972</t>
        </is>
      </c>
      <c r="E117" t="inlineStr">
        <is>
          <t>0                      BL 0025000C  3           1972</t>
        </is>
      </c>
      <c r="F117" t="inlineStr">
        <is>
          <t>Ways of understanding religion [by] Walter H. Capps. --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Capps, Walter H. compiler.</t>
        </is>
      </c>
      <c r="N117" t="inlineStr">
        <is>
          <t>New York, Macmillan [1971, c1972]</t>
        </is>
      </c>
      <c r="O117" t="inlineStr">
        <is>
          <t>1971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BL </t>
        </is>
      </c>
      <c r="U117" t="n">
        <v>1</v>
      </c>
      <c r="V117" t="n">
        <v>1</v>
      </c>
      <c r="W117" t="inlineStr">
        <is>
          <t>2001-04-07</t>
        </is>
      </c>
      <c r="X117" t="inlineStr">
        <is>
          <t>2001-04-07</t>
        </is>
      </c>
      <c r="Y117" t="inlineStr">
        <is>
          <t>1990-09-21</t>
        </is>
      </c>
      <c r="Z117" t="inlineStr">
        <is>
          <t>1990-09-21</t>
        </is>
      </c>
      <c r="AA117" t="n">
        <v>587</v>
      </c>
      <c r="AB117" t="n">
        <v>531</v>
      </c>
      <c r="AC117" t="n">
        <v>547</v>
      </c>
      <c r="AD117" t="n">
        <v>5</v>
      </c>
      <c r="AE117" t="n">
        <v>5</v>
      </c>
      <c r="AF117" t="n">
        <v>39</v>
      </c>
      <c r="AG117" t="n">
        <v>39</v>
      </c>
      <c r="AH117" t="n">
        <v>15</v>
      </c>
      <c r="AI117" t="n">
        <v>15</v>
      </c>
      <c r="AJ117" t="n">
        <v>7</v>
      </c>
      <c r="AK117" t="n">
        <v>7</v>
      </c>
      <c r="AL117" t="n">
        <v>26</v>
      </c>
      <c r="AM117" t="n">
        <v>26</v>
      </c>
      <c r="AN117" t="n">
        <v>4</v>
      </c>
      <c r="AO117" t="n">
        <v>4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HYPERLINK("http://catalog.hathitrust.org/Record/102069936","HathiTrust Record")</f>
        <v/>
      </c>
      <c r="AU117">
        <f>HYPERLINK("https://creighton-primo.hosted.exlibrisgroup.com/primo-explore/search?tab=default_tab&amp;search_scope=EVERYTHING&amp;vid=01CRU&amp;lang=en_US&amp;offset=0&amp;query=any,contains,991001363469702656","Catalog Record")</f>
        <v/>
      </c>
      <c r="AV117">
        <f>HYPERLINK("http://www.worldcat.org/oclc/222164","WorldCat Record")</f>
        <v/>
      </c>
      <c r="AW117" t="inlineStr">
        <is>
          <t>1327608:eng</t>
        </is>
      </c>
      <c r="AX117" t="inlineStr">
        <is>
          <t>222164</t>
        </is>
      </c>
      <c r="AY117" t="inlineStr">
        <is>
          <t>991001363469702656</t>
        </is>
      </c>
      <c r="AZ117" t="inlineStr">
        <is>
          <t>991001363469702656</t>
        </is>
      </c>
      <c r="BA117" t="inlineStr">
        <is>
          <t>2262164630002656</t>
        </is>
      </c>
      <c r="BB117" t="inlineStr">
        <is>
          <t>BOOK</t>
        </is>
      </c>
      <c r="BE117" t="inlineStr">
        <is>
          <t>32285000307321</t>
        </is>
      </c>
      <c r="BF117" t="inlineStr">
        <is>
          <t>893497022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BL25 .K35 1964</t>
        </is>
      </c>
      <c r="E118" t="inlineStr">
        <is>
          <t>0                      BL 0025000K  35          1964</t>
        </is>
      </c>
      <c r="F118" t="inlineStr">
        <is>
          <t>Religion from Tolstoy to Camus / selected, with an introd. and prefaces, by Walter Kaufmann.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Kaufmann, Walter, 1921-1980 editor.</t>
        </is>
      </c>
      <c r="N118" t="inlineStr">
        <is>
          <t>New York : Harper &amp; Row, 1964.</t>
        </is>
      </c>
      <c r="O118" t="inlineStr">
        <is>
          <t>1964</t>
        </is>
      </c>
      <c r="P118" t="inlineStr">
        <is>
          <t>Enl. ed.</t>
        </is>
      </c>
      <c r="Q118" t="inlineStr">
        <is>
          <t>eng</t>
        </is>
      </c>
      <c r="R118" t="inlineStr">
        <is>
          <t>nyu</t>
        </is>
      </c>
      <c r="S118" t="inlineStr">
        <is>
          <t>Harper torchbook ; TB123</t>
        </is>
      </c>
      <c r="T118" t="inlineStr">
        <is>
          <t xml:space="preserve">BL </t>
        </is>
      </c>
      <c r="U118" t="n">
        <v>8</v>
      </c>
      <c r="V118" t="n">
        <v>8</v>
      </c>
      <c r="W118" t="inlineStr">
        <is>
          <t>1995-06-25</t>
        </is>
      </c>
      <c r="X118" t="inlineStr">
        <is>
          <t>1995-06-25</t>
        </is>
      </c>
      <c r="Y118" t="inlineStr">
        <is>
          <t>1990-09-21</t>
        </is>
      </c>
      <c r="Z118" t="inlineStr">
        <is>
          <t>1990-09-21</t>
        </is>
      </c>
      <c r="AA118" t="n">
        <v>316</v>
      </c>
      <c r="AB118" t="n">
        <v>272</v>
      </c>
      <c r="AC118" t="n">
        <v>422</v>
      </c>
      <c r="AD118" t="n">
        <v>2</v>
      </c>
      <c r="AE118" t="n">
        <v>3</v>
      </c>
      <c r="AF118" t="n">
        <v>17</v>
      </c>
      <c r="AG118" t="n">
        <v>25</v>
      </c>
      <c r="AH118" t="n">
        <v>8</v>
      </c>
      <c r="AI118" t="n">
        <v>9</v>
      </c>
      <c r="AJ118" t="n">
        <v>1</v>
      </c>
      <c r="AK118" t="n">
        <v>3</v>
      </c>
      <c r="AL118" t="n">
        <v>9</v>
      </c>
      <c r="AM118" t="n">
        <v>16</v>
      </c>
      <c r="AN118" t="n">
        <v>1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HYPERLINK("http://catalog.hathitrust.org/Record/101997787","HathiTrust Record")</f>
        <v/>
      </c>
      <c r="AU118">
        <f>HYPERLINK("https://creighton-primo.hosted.exlibrisgroup.com/primo-explore/search?tab=default_tab&amp;search_scope=EVERYTHING&amp;vid=01CRU&amp;lang=en_US&amp;offset=0&amp;query=any,contains,991004321829702656","Catalog Record")</f>
        <v/>
      </c>
      <c r="AV118">
        <f>HYPERLINK("http://www.worldcat.org/oclc/3018845","WorldCat Record")</f>
        <v/>
      </c>
      <c r="AW118" t="inlineStr">
        <is>
          <t>7193258:eng</t>
        </is>
      </c>
      <c r="AX118" t="inlineStr">
        <is>
          <t>3018845</t>
        </is>
      </c>
      <c r="AY118" t="inlineStr">
        <is>
          <t>991004321829702656</t>
        </is>
      </c>
      <c r="AZ118" t="inlineStr">
        <is>
          <t>991004321829702656</t>
        </is>
      </c>
      <c r="BA118" t="inlineStr">
        <is>
          <t>2272148800002656</t>
        </is>
      </c>
      <c r="BB118" t="inlineStr">
        <is>
          <t>BOOK</t>
        </is>
      </c>
      <c r="BE118" t="inlineStr">
        <is>
          <t>32285000307354</t>
        </is>
      </c>
      <c r="BF118" t="inlineStr">
        <is>
          <t>893869589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BL25 .M85</t>
        </is>
      </c>
      <c r="E119" t="inlineStr">
        <is>
          <t>0                      BL 0025000M  85</t>
        </is>
      </c>
      <c r="F119" t="inlineStr">
        <is>
          <t>Myths and symbols; studies in honor of Mircea Eliade / edited by Joseph M. Kitagawa and Charles H. Long. With the collaboration of Gerald C. Brauer and Marshall G. S. Hodgson.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Chicago, University of Chicago Press [1969]</t>
        </is>
      </c>
      <c r="O119" t="inlineStr">
        <is>
          <t>1969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BL </t>
        </is>
      </c>
      <c r="U119" t="n">
        <v>5</v>
      </c>
      <c r="V119" t="n">
        <v>5</v>
      </c>
      <c r="W119" t="inlineStr">
        <is>
          <t>1998-11-29</t>
        </is>
      </c>
      <c r="X119" t="inlineStr">
        <is>
          <t>1998-11-29</t>
        </is>
      </c>
      <c r="Y119" t="inlineStr">
        <is>
          <t>1990-09-21</t>
        </is>
      </c>
      <c r="Z119" t="inlineStr">
        <is>
          <t>1990-09-21</t>
        </is>
      </c>
      <c r="AA119" t="n">
        <v>1149</v>
      </c>
      <c r="AB119" t="n">
        <v>974</v>
      </c>
      <c r="AC119" t="n">
        <v>997</v>
      </c>
      <c r="AD119" t="n">
        <v>8</v>
      </c>
      <c r="AE119" t="n">
        <v>8</v>
      </c>
      <c r="AF119" t="n">
        <v>44</v>
      </c>
      <c r="AG119" t="n">
        <v>44</v>
      </c>
      <c r="AH119" t="n">
        <v>17</v>
      </c>
      <c r="AI119" t="n">
        <v>17</v>
      </c>
      <c r="AJ119" t="n">
        <v>9</v>
      </c>
      <c r="AK119" t="n">
        <v>9</v>
      </c>
      <c r="AL119" t="n">
        <v>23</v>
      </c>
      <c r="AM119" t="n">
        <v>23</v>
      </c>
      <c r="AN119" t="n">
        <v>7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HYPERLINK("http://catalog.hathitrust.org/Record/001391016","HathiTrust Record")</f>
        <v/>
      </c>
      <c r="AU119">
        <f>HYPERLINK("https://creighton-primo.hosted.exlibrisgroup.com/primo-explore/search?tab=default_tab&amp;search_scope=EVERYTHING&amp;vid=01CRU&amp;lang=en_US&amp;offset=0&amp;query=any,contains,991000219299702656","Catalog Record")</f>
        <v/>
      </c>
      <c r="AV119">
        <f>HYPERLINK("http://www.worldcat.org/oclc/67544","WorldCat Record")</f>
        <v/>
      </c>
      <c r="AW119" t="inlineStr">
        <is>
          <t>1091031194:eng</t>
        </is>
      </c>
      <c r="AX119" t="inlineStr">
        <is>
          <t>67544</t>
        </is>
      </c>
      <c r="AY119" t="inlineStr">
        <is>
          <t>991000219299702656</t>
        </is>
      </c>
      <c r="AZ119" t="inlineStr">
        <is>
          <t>991000219299702656</t>
        </is>
      </c>
      <c r="BA119" t="inlineStr">
        <is>
          <t>2258113700002656</t>
        </is>
      </c>
      <c r="BB119" t="inlineStr">
        <is>
          <t>BOOK</t>
        </is>
      </c>
      <c r="BE119" t="inlineStr">
        <is>
          <t>32285000307362</t>
        </is>
      </c>
      <c r="BF119" t="inlineStr">
        <is>
          <t>893601593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BL25 .S65</t>
        </is>
      </c>
      <c r="E120" t="inlineStr">
        <is>
          <t>0                      BL 0025000S  65</t>
        </is>
      </c>
      <c r="F120" t="inlineStr">
        <is>
          <t>Ways of being religious; readings for a new approach to religion [compiled by] Frederick J. Streng, Charles L. Lloyd, Jr. [and] Jay T. Allen.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Streng, Frederick J. compiler.</t>
        </is>
      </c>
      <c r="N120" t="inlineStr">
        <is>
          <t>Englewood Cliffs, N.J., Prentice-Hall [1973]</t>
        </is>
      </c>
      <c r="O120" t="inlineStr">
        <is>
          <t>1973</t>
        </is>
      </c>
      <c r="Q120" t="inlineStr">
        <is>
          <t>eng</t>
        </is>
      </c>
      <c r="R120" t="inlineStr">
        <is>
          <t>nju</t>
        </is>
      </c>
      <c r="T120" t="inlineStr">
        <is>
          <t xml:space="preserve">BL </t>
        </is>
      </c>
      <c r="U120" t="n">
        <v>4</v>
      </c>
      <c r="V120" t="n">
        <v>4</v>
      </c>
      <c r="W120" t="inlineStr">
        <is>
          <t>2001-03-12</t>
        </is>
      </c>
      <c r="X120" t="inlineStr">
        <is>
          <t>2001-03-12</t>
        </is>
      </c>
      <c r="Y120" t="inlineStr">
        <is>
          <t>1990-09-21</t>
        </is>
      </c>
      <c r="Z120" t="inlineStr">
        <is>
          <t>1990-09-21</t>
        </is>
      </c>
      <c r="AA120" t="n">
        <v>524</v>
      </c>
      <c r="AB120" t="n">
        <v>440</v>
      </c>
      <c r="AC120" t="n">
        <v>446</v>
      </c>
      <c r="AD120" t="n">
        <v>4</v>
      </c>
      <c r="AE120" t="n">
        <v>4</v>
      </c>
      <c r="AF120" t="n">
        <v>29</v>
      </c>
      <c r="AG120" t="n">
        <v>29</v>
      </c>
      <c r="AH120" t="n">
        <v>11</v>
      </c>
      <c r="AI120" t="n">
        <v>11</v>
      </c>
      <c r="AJ120" t="n">
        <v>5</v>
      </c>
      <c r="AK120" t="n">
        <v>5</v>
      </c>
      <c r="AL120" t="n">
        <v>21</v>
      </c>
      <c r="AM120" t="n">
        <v>21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HYPERLINK("http://catalog.hathitrust.org/Record/000740774","HathiTrust Record")</f>
        <v/>
      </c>
      <c r="AU120">
        <f>HYPERLINK("https://creighton-primo.hosted.exlibrisgroup.com/primo-explore/search?tab=default_tab&amp;search_scope=EVERYTHING&amp;vid=01CRU&amp;lang=en_US&amp;offset=0&amp;query=any,contains,991002729579702656","Catalog Record")</f>
        <v/>
      </c>
      <c r="AV120">
        <f>HYPERLINK("http://www.worldcat.org/oclc/415394","WorldCat Record")</f>
        <v/>
      </c>
      <c r="AW120" t="inlineStr">
        <is>
          <t>422790457:eng</t>
        </is>
      </c>
      <c r="AX120" t="inlineStr">
        <is>
          <t>415394</t>
        </is>
      </c>
      <c r="AY120" t="inlineStr">
        <is>
          <t>991002729579702656</t>
        </is>
      </c>
      <c r="AZ120" t="inlineStr">
        <is>
          <t>991002729579702656</t>
        </is>
      </c>
      <c r="BA120" t="inlineStr">
        <is>
          <t>2266908400002656</t>
        </is>
      </c>
      <c r="BB120" t="inlineStr">
        <is>
          <t>BOOK</t>
        </is>
      </c>
      <c r="BD120" t="inlineStr">
        <is>
          <t>9780139462771</t>
        </is>
      </c>
      <c r="BE120" t="inlineStr">
        <is>
          <t>32285000307388</t>
        </is>
      </c>
      <c r="BF120" t="inlineStr">
        <is>
          <t>893523975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BL2525 .A45 1983</t>
        </is>
      </c>
      <c r="E121" t="inlineStr">
        <is>
          <t>0                      BL 2525000A  45          1983</t>
        </is>
      </c>
      <c r="F121" t="inlineStr">
        <is>
          <t>Alternatives to American mainline churches / Joseph H. Fichter, editor ; [contributors, William Sims Bainbridge ... et al.].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Barrytown, N.Y. : Unification Theological Seminary ; New York, N.Y. : Distributed by the Rose of Sharon Press, c1983.</t>
        </is>
      </c>
      <c r="O121" t="inlineStr">
        <is>
          <t>1983</t>
        </is>
      </c>
      <c r="P121" t="inlineStr">
        <is>
          <t>1st ed.</t>
        </is>
      </c>
      <c r="Q121" t="inlineStr">
        <is>
          <t>eng</t>
        </is>
      </c>
      <c r="R121" t="inlineStr">
        <is>
          <t>nyu</t>
        </is>
      </c>
      <c r="S121" t="inlineStr">
        <is>
          <t>Conference series (Unification Theological Seminary) ; no. 14</t>
        </is>
      </c>
      <c r="T121" t="inlineStr">
        <is>
          <t xml:space="preserve">BL </t>
        </is>
      </c>
      <c r="U121" t="n">
        <v>2</v>
      </c>
      <c r="V121" t="n">
        <v>2</v>
      </c>
      <c r="W121" t="inlineStr">
        <is>
          <t>1997-04-22</t>
        </is>
      </c>
      <c r="X121" t="inlineStr">
        <is>
          <t>1997-04-22</t>
        </is>
      </c>
      <c r="Y121" t="inlineStr">
        <is>
          <t>1997-04-16</t>
        </is>
      </c>
      <c r="Z121" t="inlineStr">
        <is>
          <t>1997-04-16</t>
        </is>
      </c>
      <c r="AA121" t="n">
        <v>396</v>
      </c>
      <c r="AB121" t="n">
        <v>353</v>
      </c>
      <c r="AC121" t="n">
        <v>354</v>
      </c>
      <c r="AD121" t="n">
        <v>2</v>
      </c>
      <c r="AE121" t="n">
        <v>2</v>
      </c>
      <c r="AF121" t="n">
        <v>15</v>
      </c>
      <c r="AG121" t="n">
        <v>15</v>
      </c>
      <c r="AH121" t="n">
        <v>3</v>
      </c>
      <c r="AI121" t="n">
        <v>3</v>
      </c>
      <c r="AJ121" t="n">
        <v>4</v>
      </c>
      <c r="AK121" t="n">
        <v>4</v>
      </c>
      <c r="AL121" t="n">
        <v>9</v>
      </c>
      <c r="AM121" t="n">
        <v>9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HYPERLINK("http://catalog.hathitrust.org/Record/006011613","HathiTrust Record")</f>
        <v/>
      </c>
      <c r="AU121">
        <f>HYPERLINK("https://creighton-primo.hosted.exlibrisgroup.com/primo-explore/search?tab=default_tab&amp;search_scope=EVERYTHING&amp;vid=01CRU&amp;lang=en_US&amp;offset=0&amp;query=any,contains,991000338789702656","Catalog Record")</f>
        <v/>
      </c>
      <c r="AV121">
        <f>HYPERLINK("http://www.worldcat.org/oclc/10242479","WorldCat Record")</f>
        <v/>
      </c>
      <c r="AW121" t="inlineStr">
        <is>
          <t>54616352:eng</t>
        </is>
      </c>
      <c r="AX121" t="inlineStr">
        <is>
          <t>10242479</t>
        </is>
      </c>
      <c r="AY121" t="inlineStr">
        <is>
          <t>991000338789702656</t>
        </is>
      </c>
      <c r="AZ121" t="inlineStr">
        <is>
          <t>991000338789702656</t>
        </is>
      </c>
      <c r="BA121" t="inlineStr">
        <is>
          <t>2270370490002656</t>
        </is>
      </c>
      <c r="BB121" t="inlineStr">
        <is>
          <t>BOOK</t>
        </is>
      </c>
      <c r="BD121" t="inlineStr">
        <is>
          <t>9780932894144</t>
        </is>
      </c>
      <c r="BE121" t="inlineStr">
        <is>
          <t>32285002537792</t>
        </is>
      </c>
      <c r="BF121" t="inlineStr">
        <is>
          <t>893231041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BL2525 .B44 1989</t>
        </is>
      </c>
      <c r="E122" t="inlineStr">
        <is>
          <t>0                      BL 2525000B  44          1989</t>
        </is>
      </c>
      <c r="F122" t="inlineStr">
        <is>
          <t>New religions and the theological imagination in America / Mary Farrell Bednarowski.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Bednarowski, Mary Farrell.</t>
        </is>
      </c>
      <c r="N122" t="inlineStr">
        <is>
          <t>Bloomington : Indiana University Press, c1989.</t>
        </is>
      </c>
      <c r="O122" t="inlineStr">
        <is>
          <t>1989</t>
        </is>
      </c>
      <c r="Q122" t="inlineStr">
        <is>
          <t>eng</t>
        </is>
      </c>
      <c r="R122" t="inlineStr">
        <is>
          <t>inu</t>
        </is>
      </c>
      <c r="S122" t="inlineStr">
        <is>
          <t>Religion in North America</t>
        </is>
      </c>
      <c r="T122" t="inlineStr">
        <is>
          <t xml:space="preserve">BL </t>
        </is>
      </c>
      <c r="U122" t="n">
        <v>4</v>
      </c>
      <c r="V122" t="n">
        <v>4</v>
      </c>
      <c r="W122" t="inlineStr">
        <is>
          <t>1998-02-03</t>
        </is>
      </c>
      <c r="X122" t="inlineStr">
        <is>
          <t>1998-02-03</t>
        </is>
      </c>
      <c r="Y122" t="inlineStr">
        <is>
          <t>1990-11-20</t>
        </is>
      </c>
      <c r="Z122" t="inlineStr">
        <is>
          <t>1990-11-20</t>
        </is>
      </c>
      <c r="AA122" t="n">
        <v>708</v>
      </c>
      <c r="AB122" t="n">
        <v>607</v>
      </c>
      <c r="AC122" t="n">
        <v>731</v>
      </c>
      <c r="AD122" t="n">
        <v>8</v>
      </c>
      <c r="AE122" t="n">
        <v>8</v>
      </c>
      <c r="AF122" t="n">
        <v>30</v>
      </c>
      <c r="AG122" t="n">
        <v>38</v>
      </c>
      <c r="AH122" t="n">
        <v>10</v>
      </c>
      <c r="AI122" t="n">
        <v>14</v>
      </c>
      <c r="AJ122" t="n">
        <v>5</v>
      </c>
      <c r="AK122" t="n">
        <v>10</v>
      </c>
      <c r="AL122" t="n">
        <v>13</v>
      </c>
      <c r="AM122" t="n">
        <v>15</v>
      </c>
      <c r="AN122" t="n">
        <v>7</v>
      </c>
      <c r="AO122" t="n">
        <v>7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HYPERLINK("http://catalog.hathitrust.org/Record/001817676","HathiTrust Record")</f>
        <v/>
      </c>
      <c r="AU122">
        <f>HYPERLINK("https://creighton-primo.hosted.exlibrisgroup.com/primo-explore/search?tab=default_tab&amp;search_scope=EVERYTHING&amp;vid=01CRU&amp;lang=en_US&amp;offset=0&amp;query=any,contains,991001437279702656","Catalog Record")</f>
        <v/>
      </c>
      <c r="AV122">
        <f>HYPERLINK("http://www.worldcat.org/oclc/19130900","WorldCat Record")</f>
        <v/>
      </c>
      <c r="AW122" t="inlineStr">
        <is>
          <t>19126276:eng</t>
        </is>
      </c>
      <c r="AX122" t="inlineStr">
        <is>
          <t>19130900</t>
        </is>
      </c>
      <c r="AY122" t="inlineStr">
        <is>
          <t>991001437279702656</t>
        </is>
      </c>
      <c r="AZ122" t="inlineStr">
        <is>
          <t>991001437279702656</t>
        </is>
      </c>
      <c r="BA122" t="inlineStr">
        <is>
          <t>2261527320002656</t>
        </is>
      </c>
      <c r="BB122" t="inlineStr">
        <is>
          <t>BOOK</t>
        </is>
      </c>
      <c r="BD122" t="inlineStr">
        <is>
          <t>9780253311375</t>
        </is>
      </c>
      <c r="BE122" t="inlineStr">
        <is>
          <t>32285000356187</t>
        </is>
      </c>
      <c r="BF122" t="inlineStr">
        <is>
          <t>893534551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BL2525 .B66 1986</t>
        </is>
      </c>
      <c r="E123" t="inlineStr">
        <is>
          <t>0                      BL 2525000B  66          1986</t>
        </is>
      </c>
      <c r="F123" t="inlineStr">
        <is>
          <t>Under the cope of heaven : religion, society, and politics in Colonial America / Patricia U. Bonomi.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Bonomi, Patricia U.</t>
        </is>
      </c>
      <c r="N123" t="inlineStr">
        <is>
          <t>New York : Oxford University Press, 1986.</t>
        </is>
      </c>
      <c r="O123" t="inlineStr">
        <is>
          <t>1986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BL </t>
        </is>
      </c>
      <c r="U123" t="n">
        <v>7</v>
      </c>
      <c r="V123" t="n">
        <v>7</v>
      </c>
      <c r="W123" t="inlineStr">
        <is>
          <t>2007-12-16</t>
        </is>
      </c>
      <c r="X123" t="inlineStr">
        <is>
          <t>2007-12-16</t>
        </is>
      </c>
      <c r="Y123" t="inlineStr">
        <is>
          <t>1990-10-18</t>
        </is>
      </c>
      <c r="Z123" t="inlineStr">
        <is>
          <t>1990-10-18</t>
        </is>
      </c>
      <c r="AA123" t="n">
        <v>1059</v>
      </c>
      <c r="AB123" t="n">
        <v>916</v>
      </c>
      <c r="AC123" t="n">
        <v>1779</v>
      </c>
      <c r="AD123" t="n">
        <v>5</v>
      </c>
      <c r="AE123" t="n">
        <v>23</v>
      </c>
      <c r="AF123" t="n">
        <v>30</v>
      </c>
      <c r="AG123" t="n">
        <v>62</v>
      </c>
      <c r="AH123" t="n">
        <v>12</v>
      </c>
      <c r="AI123" t="n">
        <v>24</v>
      </c>
      <c r="AJ123" t="n">
        <v>7</v>
      </c>
      <c r="AK123" t="n">
        <v>11</v>
      </c>
      <c r="AL123" t="n">
        <v>15</v>
      </c>
      <c r="AM123" t="n">
        <v>23</v>
      </c>
      <c r="AN123" t="n">
        <v>4</v>
      </c>
      <c r="AO123" t="n">
        <v>15</v>
      </c>
      <c r="AP123" t="n">
        <v>1</v>
      </c>
      <c r="AQ123" t="n">
        <v>2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HYPERLINK("http://catalog.hathitrust.org/Record/000634948","HathiTrust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HYPERLINK("https://creighton-primo.hosted.exlibrisgroup.com/primo-explore/search?tab=default_tab&amp;search_scope=EVERYTHING&amp;vid=01CRU&amp;lang=en_US&amp;offset=0&amp;query=any,contains,991000828569702656","Catalog Record")</f>
        <v/>
      </c>
      <c r="AV123">
        <f>HYPERLINK("http://www.worldcat.org/oclc/13425993","WorldCat Record")</f>
        <v/>
      </c>
      <c r="AW123" t="inlineStr">
        <is>
          <t>793969999:eng</t>
        </is>
      </c>
      <c r="AX123" t="inlineStr">
        <is>
          <t>13425993</t>
        </is>
      </c>
      <c r="AY123" t="inlineStr">
        <is>
          <t>991000828569702656</t>
        </is>
      </c>
      <c r="AZ123" t="inlineStr">
        <is>
          <t>991000828569702656</t>
        </is>
      </c>
      <c r="BA123" t="inlineStr">
        <is>
          <t>2265121800002656</t>
        </is>
      </c>
      <c r="BB123" t="inlineStr">
        <is>
          <t>BOOK</t>
        </is>
      </c>
      <c r="BD123" t="inlineStr">
        <is>
          <t>9780195041187</t>
        </is>
      </c>
      <c r="BE123" t="inlineStr">
        <is>
          <t>32285000352095</t>
        </is>
      </c>
      <c r="BF123" t="inlineStr">
        <is>
          <t>893884798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BL2525 .C44 1992</t>
        </is>
      </c>
      <c r="E124" t="inlineStr">
        <is>
          <t>0                      BL 2525000C  44          1992</t>
        </is>
      </c>
      <c r="F124" t="inlineStr">
        <is>
          <t>Racing toward 2001 : the forces shaping America's religious future / Russell Chandler.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Chandler, Russell.</t>
        </is>
      </c>
      <c r="N124" t="inlineStr">
        <is>
          <t>Grand Rapids, Mich. : Zondervan Pub. House ; San Francisco, Calif. : HarperSanFrancisco, c1992.</t>
        </is>
      </c>
      <c r="O124" t="inlineStr">
        <is>
          <t>1992</t>
        </is>
      </c>
      <c r="Q124" t="inlineStr">
        <is>
          <t>eng</t>
        </is>
      </c>
      <c r="R124" t="inlineStr">
        <is>
          <t>miu</t>
        </is>
      </c>
      <c r="T124" t="inlineStr">
        <is>
          <t xml:space="preserve">BL </t>
        </is>
      </c>
      <c r="U124" t="n">
        <v>4</v>
      </c>
      <c r="V124" t="n">
        <v>4</v>
      </c>
      <c r="W124" t="inlineStr">
        <is>
          <t>1997-02-03</t>
        </is>
      </c>
      <c r="X124" t="inlineStr">
        <is>
          <t>1997-02-03</t>
        </is>
      </c>
      <c r="Y124" t="inlineStr">
        <is>
          <t>1996-09-06</t>
        </is>
      </c>
      <c r="Z124" t="inlineStr">
        <is>
          <t>1996-09-06</t>
        </is>
      </c>
      <c r="AA124" t="n">
        <v>362</v>
      </c>
      <c r="AB124" t="n">
        <v>326</v>
      </c>
      <c r="AC124" t="n">
        <v>331</v>
      </c>
      <c r="AD124" t="n">
        <v>3</v>
      </c>
      <c r="AE124" t="n">
        <v>3</v>
      </c>
      <c r="AF124" t="n">
        <v>10</v>
      </c>
      <c r="AG124" t="n">
        <v>10</v>
      </c>
      <c r="AH124" t="n">
        <v>4</v>
      </c>
      <c r="AI124" t="n">
        <v>4</v>
      </c>
      <c r="AJ124" t="n">
        <v>2</v>
      </c>
      <c r="AK124" t="n">
        <v>2</v>
      </c>
      <c r="AL124" t="n">
        <v>3</v>
      </c>
      <c r="AM124" t="n">
        <v>3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HYPERLINK("https://creighton-primo.hosted.exlibrisgroup.com/primo-explore/search?tab=default_tab&amp;search_scope=EVERYTHING&amp;vid=01CRU&amp;lang=en_US&amp;offset=0&amp;query=any,contains,991001903289702656","Catalog Record")</f>
        <v/>
      </c>
      <c r="AV124">
        <f>HYPERLINK("http://www.worldcat.org/oclc/24065145","WorldCat Record")</f>
        <v/>
      </c>
      <c r="AW124" t="inlineStr">
        <is>
          <t>1373520068:eng</t>
        </is>
      </c>
      <c r="AX124" t="inlineStr">
        <is>
          <t>24065145</t>
        </is>
      </c>
      <c r="AY124" t="inlineStr">
        <is>
          <t>991001903289702656</t>
        </is>
      </c>
      <c r="AZ124" t="inlineStr">
        <is>
          <t>991001903289702656</t>
        </is>
      </c>
      <c r="BA124" t="inlineStr">
        <is>
          <t>2263912010002656</t>
        </is>
      </c>
      <c r="BB124" t="inlineStr">
        <is>
          <t>BOOK</t>
        </is>
      </c>
      <c r="BD124" t="inlineStr">
        <is>
          <t>9780310541301</t>
        </is>
      </c>
      <c r="BE124" t="inlineStr">
        <is>
          <t>32285002294980</t>
        </is>
      </c>
      <c r="BF124" t="inlineStr">
        <is>
          <t>893803985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BL2525 .C6413 1984</t>
        </is>
      </c>
      <c r="E125" t="inlineStr">
        <is>
          <t>0                      BL 2525000C  6413        1984</t>
        </is>
      </c>
      <c r="F125" t="inlineStr">
        <is>
          <t>God in America : religion and politics in the United States / Furio Colombo ; translated by Kristin Jarratt.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Colombo, Furio.</t>
        </is>
      </c>
      <c r="N125" t="inlineStr">
        <is>
          <t>New York : Columbia University Press, 1984.</t>
        </is>
      </c>
      <c r="O125" t="inlineStr">
        <is>
          <t>1984</t>
        </is>
      </c>
      <c r="Q125" t="inlineStr">
        <is>
          <t>eng</t>
        </is>
      </c>
      <c r="R125" t="inlineStr">
        <is>
          <t>nyu</t>
        </is>
      </c>
      <c r="T125" t="inlineStr">
        <is>
          <t xml:space="preserve">BL </t>
        </is>
      </c>
      <c r="U125" t="n">
        <v>1</v>
      </c>
      <c r="V125" t="n">
        <v>1</v>
      </c>
      <c r="W125" t="inlineStr">
        <is>
          <t>1992-11-13</t>
        </is>
      </c>
      <c r="X125" t="inlineStr">
        <is>
          <t>1992-11-13</t>
        </is>
      </c>
      <c r="Y125" t="inlineStr">
        <is>
          <t>1990-10-18</t>
        </is>
      </c>
      <c r="Z125" t="inlineStr">
        <is>
          <t>1990-10-18</t>
        </is>
      </c>
      <c r="AA125" t="n">
        <v>751</v>
      </c>
      <c r="AB125" t="n">
        <v>664</v>
      </c>
      <c r="AC125" t="n">
        <v>667</v>
      </c>
      <c r="AD125" t="n">
        <v>5</v>
      </c>
      <c r="AE125" t="n">
        <v>5</v>
      </c>
      <c r="AF125" t="n">
        <v>37</v>
      </c>
      <c r="AG125" t="n">
        <v>37</v>
      </c>
      <c r="AH125" t="n">
        <v>9</v>
      </c>
      <c r="AI125" t="n">
        <v>9</v>
      </c>
      <c r="AJ125" t="n">
        <v>7</v>
      </c>
      <c r="AK125" t="n">
        <v>7</v>
      </c>
      <c r="AL125" t="n">
        <v>19</v>
      </c>
      <c r="AM125" t="n">
        <v>19</v>
      </c>
      <c r="AN125" t="n">
        <v>3</v>
      </c>
      <c r="AO125" t="n">
        <v>3</v>
      </c>
      <c r="AP125" t="n">
        <v>8</v>
      </c>
      <c r="AQ125" t="n">
        <v>8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HYPERLINK("https://creighton-primo.hosted.exlibrisgroup.com/primo-explore/search?tab=default_tab&amp;search_scope=EVERYTHING&amp;vid=01CRU&amp;lang=en_US&amp;offset=0&amp;query=any,contains,991000378799702656","Catalog Record")</f>
        <v/>
      </c>
      <c r="AV125">
        <f>HYPERLINK("http://www.worldcat.org/oclc/10483577","WorldCat Record")</f>
        <v/>
      </c>
      <c r="AW125" t="inlineStr">
        <is>
          <t>1151239063:eng</t>
        </is>
      </c>
      <c r="AX125" t="inlineStr">
        <is>
          <t>10483577</t>
        </is>
      </c>
      <c r="AY125" t="inlineStr">
        <is>
          <t>991000378799702656</t>
        </is>
      </c>
      <c r="AZ125" t="inlineStr">
        <is>
          <t>991000378799702656</t>
        </is>
      </c>
      <c r="BA125" t="inlineStr">
        <is>
          <t>2263429380002656</t>
        </is>
      </c>
      <c r="BB125" t="inlineStr">
        <is>
          <t>BOOK</t>
        </is>
      </c>
      <c r="BD125" t="inlineStr">
        <is>
          <t>9780231059725</t>
        </is>
      </c>
      <c r="BE125" t="inlineStr">
        <is>
          <t>32285000352103</t>
        </is>
      </c>
      <c r="BF125" t="inlineStr">
        <is>
          <t>893877979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BL2525 .F56 1984</t>
        </is>
      </c>
      <c r="E126" t="inlineStr">
        <is>
          <t>0                      BL 2525000F  56          1984</t>
        </is>
      </c>
      <c r="F126" t="inlineStr">
        <is>
          <t>Religion in strange times : the 1960s and 1970s / by Ronald B. Flowers.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Flowers, Ronald B. (Ronald Bruce), 1935-</t>
        </is>
      </c>
      <c r="N126" t="inlineStr">
        <is>
          <t>Macon, GA : Mercer University Press, c1984.</t>
        </is>
      </c>
      <c r="O126" t="inlineStr">
        <is>
          <t>1984</t>
        </is>
      </c>
      <c r="Q126" t="inlineStr">
        <is>
          <t>eng</t>
        </is>
      </c>
      <c r="R126" t="inlineStr">
        <is>
          <t>gau</t>
        </is>
      </c>
      <c r="T126" t="inlineStr">
        <is>
          <t xml:space="preserve">BL </t>
        </is>
      </c>
      <c r="U126" t="n">
        <v>2</v>
      </c>
      <c r="V126" t="n">
        <v>2</v>
      </c>
      <c r="W126" t="inlineStr">
        <is>
          <t>2002-10-09</t>
        </is>
      </c>
      <c r="X126" t="inlineStr">
        <is>
          <t>2002-10-09</t>
        </is>
      </c>
      <c r="Y126" t="inlineStr">
        <is>
          <t>1990-10-18</t>
        </is>
      </c>
      <c r="Z126" t="inlineStr">
        <is>
          <t>1990-10-18</t>
        </is>
      </c>
      <c r="AA126" t="n">
        <v>739</v>
      </c>
      <c r="AB126" t="n">
        <v>667</v>
      </c>
      <c r="AC126" t="n">
        <v>671</v>
      </c>
      <c r="AD126" t="n">
        <v>3</v>
      </c>
      <c r="AE126" t="n">
        <v>3</v>
      </c>
      <c r="AF126" t="n">
        <v>31</v>
      </c>
      <c r="AG126" t="n">
        <v>31</v>
      </c>
      <c r="AH126" t="n">
        <v>13</v>
      </c>
      <c r="AI126" t="n">
        <v>13</v>
      </c>
      <c r="AJ126" t="n">
        <v>7</v>
      </c>
      <c r="AK126" t="n">
        <v>7</v>
      </c>
      <c r="AL126" t="n">
        <v>16</v>
      </c>
      <c r="AM126" t="n">
        <v>16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HYPERLINK("https://creighton-primo.hosted.exlibrisgroup.com/primo-explore/search?tab=default_tab&amp;search_scope=EVERYTHING&amp;vid=01CRU&amp;lang=en_US&amp;offset=0&amp;query=any,contains,991000455479702656","Catalog Record")</f>
        <v/>
      </c>
      <c r="AV126">
        <f>HYPERLINK("http://www.worldcat.org/oclc/10913699","WorldCat Record")</f>
        <v/>
      </c>
      <c r="AW126" t="inlineStr">
        <is>
          <t>1032017705:eng</t>
        </is>
      </c>
      <c r="AX126" t="inlineStr">
        <is>
          <t>10913699</t>
        </is>
      </c>
      <c r="AY126" t="inlineStr">
        <is>
          <t>991000455479702656</t>
        </is>
      </c>
      <c r="AZ126" t="inlineStr">
        <is>
          <t>991000455479702656</t>
        </is>
      </c>
      <c r="BA126" t="inlineStr">
        <is>
          <t>2258630400002656</t>
        </is>
      </c>
      <c r="BB126" t="inlineStr">
        <is>
          <t>BOOK</t>
        </is>
      </c>
      <c r="BD126" t="inlineStr">
        <is>
          <t>9780865541276</t>
        </is>
      </c>
      <c r="BE126" t="inlineStr">
        <is>
          <t>32285000352111</t>
        </is>
      </c>
      <c r="BF126" t="inlineStr">
        <is>
          <t>893771640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BL2525 .H39 1990</t>
        </is>
      </c>
      <c r="E127" t="inlineStr">
        <is>
          <t>0                      BL 2525000H  39          1990</t>
        </is>
      </c>
      <c r="F127" t="inlineStr">
        <is>
          <t>Religion in American history : what to teach and how / by Charles C. Haynes.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Haynes, Charles C.</t>
        </is>
      </c>
      <c r="N127" t="inlineStr">
        <is>
          <t>Alexandria, Va. : Association for Supervision and Curriculum Development, c1990.</t>
        </is>
      </c>
      <c r="O127" t="inlineStr">
        <is>
          <t>1990</t>
        </is>
      </c>
      <c r="Q127" t="inlineStr">
        <is>
          <t>eng</t>
        </is>
      </c>
      <c r="R127" t="inlineStr">
        <is>
          <t>vau</t>
        </is>
      </c>
      <c r="T127" t="inlineStr">
        <is>
          <t xml:space="preserve">BL </t>
        </is>
      </c>
      <c r="U127" t="n">
        <v>7</v>
      </c>
      <c r="V127" t="n">
        <v>7</v>
      </c>
      <c r="W127" t="inlineStr">
        <is>
          <t>1999-01-25</t>
        </is>
      </c>
      <c r="X127" t="inlineStr">
        <is>
          <t>1999-01-25</t>
        </is>
      </c>
      <c r="Y127" t="inlineStr">
        <is>
          <t>1991-12-02</t>
        </is>
      </c>
      <c r="Z127" t="inlineStr">
        <is>
          <t>1991-12-02</t>
        </is>
      </c>
      <c r="AA127" t="n">
        <v>227</v>
      </c>
      <c r="AB127" t="n">
        <v>217</v>
      </c>
      <c r="AC127" t="n">
        <v>220</v>
      </c>
      <c r="AD127" t="n">
        <v>2</v>
      </c>
      <c r="AE127" t="n">
        <v>2</v>
      </c>
      <c r="AF127" t="n">
        <v>12</v>
      </c>
      <c r="AG127" t="n">
        <v>12</v>
      </c>
      <c r="AH127" t="n">
        <v>7</v>
      </c>
      <c r="AI127" t="n">
        <v>7</v>
      </c>
      <c r="AJ127" t="n">
        <v>1</v>
      </c>
      <c r="AK127" t="n">
        <v>1</v>
      </c>
      <c r="AL127" t="n">
        <v>4</v>
      </c>
      <c r="AM127" t="n">
        <v>4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HYPERLINK("http://catalog.hathitrust.org/Record/002492827","HathiTrust Record")</f>
        <v/>
      </c>
      <c r="AU127">
        <f>HYPERLINK("https://creighton-primo.hosted.exlibrisgroup.com/primo-explore/search?tab=default_tab&amp;search_scope=EVERYTHING&amp;vid=01CRU&amp;lang=en_US&amp;offset=0&amp;query=any,contains,991001673039702656","Catalog Record")</f>
        <v/>
      </c>
      <c r="AV127">
        <f>HYPERLINK("http://www.worldcat.org/oclc/21301715","WorldCat Record")</f>
        <v/>
      </c>
      <c r="AW127" t="inlineStr">
        <is>
          <t>22810235:eng</t>
        </is>
      </c>
      <c r="AX127" t="inlineStr">
        <is>
          <t>21301715</t>
        </is>
      </c>
      <c r="AY127" t="inlineStr">
        <is>
          <t>991001673039702656</t>
        </is>
      </c>
      <c r="AZ127" t="inlineStr">
        <is>
          <t>991001673039702656</t>
        </is>
      </c>
      <c r="BA127" t="inlineStr">
        <is>
          <t>2261884250002656</t>
        </is>
      </c>
      <c r="BB127" t="inlineStr">
        <is>
          <t>BOOK</t>
        </is>
      </c>
      <c r="BD127" t="inlineStr">
        <is>
          <t>9780871201669</t>
        </is>
      </c>
      <c r="BE127" t="inlineStr">
        <is>
          <t>32285000834969</t>
        </is>
      </c>
      <c r="BF127" t="inlineStr">
        <is>
          <t>893885466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BL2525 .R44 1985</t>
        </is>
      </c>
      <c r="E128" t="inlineStr">
        <is>
          <t>0                      BL 2525000R  44          1985</t>
        </is>
      </c>
      <c r="F128" t="inlineStr">
        <is>
          <t>Religion in American public life / A. James Reichley.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Reichley, James.</t>
        </is>
      </c>
      <c r="N128" t="inlineStr">
        <is>
          <t>Washington, D.C. : Brookings Institution, c1985.</t>
        </is>
      </c>
      <c r="O128" t="inlineStr">
        <is>
          <t>1985</t>
        </is>
      </c>
      <c r="Q128" t="inlineStr">
        <is>
          <t>eng</t>
        </is>
      </c>
      <c r="R128" t="inlineStr">
        <is>
          <t>dcu</t>
        </is>
      </c>
      <c r="T128" t="inlineStr">
        <is>
          <t xml:space="preserve">BL </t>
        </is>
      </c>
      <c r="U128" t="n">
        <v>3</v>
      </c>
      <c r="V128" t="n">
        <v>3</v>
      </c>
      <c r="W128" t="inlineStr">
        <is>
          <t>2000-04-24</t>
        </is>
      </c>
      <c r="X128" t="inlineStr">
        <is>
          <t>2000-04-24</t>
        </is>
      </c>
      <c r="Y128" t="inlineStr">
        <is>
          <t>1990-10-18</t>
        </is>
      </c>
      <c r="Z128" t="inlineStr">
        <is>
          <t>1990-10-18</t>
        </is>
      </c>
      <c r="AA128" t="n">
        <v>1374</v>
      </c>
      <c r="AB128" t="n">
        <v>1281</v>
      </c>
      <c r="AC128" t="n">
        <v>1285</v>
      </c>
      <c r="AD128" t="n">
        <v>9</v>
      </c>
      <c r="AE128" t="n">
        <v>9</v>
      </c>
      <c r="AF128" t="n">
        <v>53</v>
      </c>
      <c r="AG128" t="n">
        <v>53</v>
      </c>
      <c r="AH128" t="n">
        <v>19</v>
      </c>
      <c r="AI128" t="n">
        <v>19</v>
      </c>
      <c r="AJ128" t="n">
        <v>10</v>
      </c>
      <c r="AK128" t="n">
        <v>10</v>
      </c>
      <c r="AL128" t="n">
        <v>22</v>
      </c>
      <c r="AM128" t="n">
        <v>22</v>
      </c>
      <c r="AN128" t="n">
        <v>5</v>
      </c>
      <c r="AO128" t="n">
        <v>5</v>
      </c>
      <c r="AP128" t="n">
        <v>10</v>
      </c>
      <c r="AQ128" t="n">
        <v>10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HYPERLINK("https://creighton-primo.hosted.exlibrisgroup.com/primo-explore/search?tab=default_tab&amp;search_scope=EVERYTHING&amp;vid=01CRU&amp;lang=en_US&amp;offset=0&amp;query=any,contains,991005405749702656","Catalog Record")</f>
        <v/>
      </c>
      <c r="AV128">
        <f>HYPERLINK("http://www.worldcat.org/oclc/12557957","WorldCat Record")</f>
        <v/>
      </c>
      <c r="AW128" t="inlineStr">
        <is>
          <t>4940871:eng</t>
        </is>
      </c>
      <c r="AX128" t="inlineStr">
        <is>
          <t>12557957</t>
        </is>
      </c>
      <c r="AY128" t="inlineStr">
        <is>
          <t>991005405749702656</t>
        </is>
      </c>
      <c r="AZ128" t="inlineStr">
        <is>
          <t>991005405749702656</t>
        </is>
      </c>
      <c r="BA128" t="inlineStr">
        <is>
          <t>2256509320002656</t>
        </is>
      </c>
      <c r="BB128" t="inlineStr">
        <is>
          <t>BOOK</t>
        </is>
      </c>
      <c r="BD128" t="inlineStr">
        <is>
          <t>9780815773771</t>
        </is>
      </c>
      <c r="BE128" t="inlineStr">
        <is>
          <t>32285000352152</t>
        </is>
      </c>
      <c r="BF128" t="inlineStr">
        <is>
          <t>893230649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BL2525 .R4625 1991</t>
        </is>
      </c>
      <c r="E129" t="inlineStr">
        <is>
          <t>0                      BL 2525000R  4625        1991</t>
        </is>
      </c>
      <c r="F129" t="inlineStr">
        <is>
          <t>Religion and twentieth-century American intellectual life / edited by Michael J. Lacey.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[Washington, D.C.] : Woodrow Wilson International Center for Scholars ; Cambridge [England] ; New York : Cambridge University Press, 1991, c1989.</t>
        </is>
      </c>
      <c r="O129" t="inlineStr">
        <is>
          <t>1991</t>
        </is>
      </c>
      <c r="P129" t="inlineStr">
        <is>
          <t>1st Pbk. ed.</t>
        </is>
      </c>
      <c r="Q129" t="inlineStr">
        <is>
          <t>eng</t>
        </is>
      </c>
      <c r="R129" t="inlineStr">
        <is>
          <t>dcu</t>
        </is>
      </c>
      <c r="S129" t="inlineStr">
        <is>
          <t>Woodrow Wilson Center series</t>
        </is>
      </c>
      <c r="T129" t="inlineStr">
        <is>
          <t xml:space="preserve">BL </t>
        </is>
      </c>
      <c r="U129" t="n">
        <v>5</v>
      </c>
      <c r="V129" t="n">
        <v>5</v>
      </c>
      <c r="W129" t="inlineStr">
        <is>
          <t>1997-01-24</t>
        </is>
      </c>
      <c r="X129" t="inlineStr">
        <is>
          <t>1997-01-24</t>
        </is>
      </c>
      <c r="Y129" t="inlineStr">
        <is>
          <t>1992-05-15</t>
        </is>
      </c>
      <c r="Z129" t="inlineStr">
        <is>
          <t>1992-05-15</t>
        </is>
      </c>
      <c r="AA129" t="n">
        <v>566</v>
      </c>
      <c r="AB129" t="n">
        <v>479</v>
      </c>
      <c r="AC129" t="n">
        <v>505</v>
      </c>
      <c r="AD129" t="n">
        <v>4</v>
      </c>
      <c r="AE129" t="n">
        <v>4</v>
      </c>
      <c r="AF129" t="n">
        <v>25</v>
      </c>
      <c r="AG129" t="n">
        <v>26</v>
      </c>
      <c r="AH129" t="n">
        <v>5</v>
      </c>
      <c r="AI129" t="n">
        <v>6</v>
      </c>
      <c r="AJ129" t="n">
        <v>7</v>
      </c>
      <c r="AK129" t="n">
        <v>7</v>
      </c>
      <c r="AL129" t="n">
        <v>17</v>
      </c>
      <c r="AM129" t="n">
        <v>17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HYPERLINK("http://catalog.hathitrust.org/Record/001833990","HathiTrust Record")</f>
        <v/>
      </c>
      <c r="AU129">
        <f>HYPERLINK("https://creighton-primo.hosted.exlibrisgroup.com/primo-explore/search?tab=default_tab&amp;search_scope=EVERYTHING&amp;vid=01CRU&amp;lang=en_US&amp;offset=0&amp;query=any,contains,991001461839702656","Catalog Record")</f>
        <v/>
      </c>
      <c r="AV129">
        <f>HYPERLINK("http://www.worldcat.org/oclc/19455752","WorldCat Record")</f>
        <v/>
      </c>
      <c r="AW129" t="inlineStr">
        <is>
          <t>55214285:eng</t>
        </is>
      </c>
      <c r="AX129" t="inlineStr">
        <is>
          <t>19455752</t>
        </is>
      </c>
      <c r="AY129" t="inlineStr">
        <is>
          <t>991001461839702656</t>
        </is>
      </c>
      <c r="AZ129" t="inlineStr">
        <is>
          <t>991001461839702656</t>
        </is>
      </c>
      <c r="BA129" t="inlineStr">
        <is>
          <t>2270574440002656</t>
        </is>
      </c>
      <c r="BB129" t="inlineStr">
        <is>
          <t>BOOK</t>
        </is>
      </c>
      <c r="BD129" t="inlineStr">
        <is>
          <t>9780521375603</t>
        </is>
      </c>
      <c r="BE129" t="inlineStr">
        <is>
          <t>32285001116010</t>
        </is>
      </c>
      <c r="BF129" t="inlineStr">
        <is>
          <t>893608882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BL2530.U6 B76 1981</t>
        </is>
      </c>
      <c r="E130" t="inlineStr">
        <is>
          <t>0                      BL 2530000U  6                  B  76          1981</t>
        </is>
      </c>
      <c r="F130" t="inlineStr">
        <is>
          <t>Strange gods : the great American cult scare / David G. Bromley and Anson D. Shupe, Jr.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Bromley, David G.</t>
        </is>
      </c>
      <c r="N130" t="inlineStr">
        <is>
          <t>Boston : Beacon Press, c1981.</t>
        </is>
      </c>
      <c r="O130" t="inlineStr">
        <is>
          <t>1981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BL </t>
        </is>
      </c>
      <c r="U130" t="n">
        <v>8</v>
      </c>
      <c r="V130" t="n">
        <v>8</v>
      </c>
      <c r="W130" t="inlineStr">
        <is>
          <t>1999-11-19</t>
        </is>
      </c>
      <c r="X130" t="inlineStr">
        <is>
          <t>1999-11-19</t>
        </is>
      </c>
      <c r="Y130" t="inlineStr">
        <is>
          <t>1990-10-18</t>
        </is>
      </c>
      <c r="Z130" t="inlineStr">
        <is>
          <t>1990-10-18</t>
        </is>
      </c>
      <c r="AA130" t="n">
        <v>1376</v>
      </c>
      <c r="AB130" t="n">
        <v>1254</v>
      </c>
      <c r="AC130" t="n">
        <v>1262</v>
      </c>
      <c r="AD130" t="n">
        <v>9</v>
      </c>
      <c r="AE130" t="n">
        <v>9</v>
      </c>
      <c r="AF130" t="n">
        <v>44</v>
      </c>
      <c r="AG130" t="n">
        <v>44</v>
      </c>
      <c r="AH130" t="n">
        <v>18</v>
      </c>
      <c r="AI130" t="n">
        <v>18</v>
      </c>
      <c r="AJ130" t="n">
        <v>8</v>
      </c>
      <c r="AK130" t="n">
        <v>8</v>
      </c>
      <c r="AL130" t="n">
        <v>23</v>
      </c>
      <c r="AM130" t="n">
        <v>23</v>
      </c>
      <c r="AN130" t="n">
        <v>6</v>
      </c>
      <c r="AO130" t="n">
        <v>6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HYPERLINK("http://catalog.hathitrust.org/Record/000100861","HathiTrust Record")</f>
        <v/>
      </c>
      <c r="AU130">
        <f>HYPERLINK("https://creighton-primo.hosted.exlibrisgroup.com/primo-explore/search?tab=default_tab&amp;search_scope=EVERYTHING&amp;vid=01CRU&amp;lang=en_US&amp;offset=0&amp;query=any,contains,991005182759702656","Catalog Record")</f>
        <v/>
      </c>
      <c r="AV130">
        <f>HYPERLINK("http://www.worldcat.org/oclc/7947410","WorldCat Record")</f>
        <v/>
      </c>
      <c r="AW130" t="inlineStr">
        <is>
          <t>197041420:eng</t>
        </is>
      </c>
      <c r="AX130" t="inlineStr">
        <is>
          <t>7947410</t>
        </is>
      </c>
      <c r="AY130" t="inlineStr">
        <is>
          <t>991005182759702656</t>
        </is>
      </c>
      <c r="AZ130" t="inlineStr">
        <is>
          <t>991005182759702656</t>
        </is>
      </c>
      <c r="BA130" t="inlineStr">
        <is>
          <t>2270080630002656</t>
        </is>
      </c>
      <c r="BB130" t="inlineStr">
        <is>
          <t>BOOK</t>
        </is>
      </c>
      <c r="BD130" t="inlineStr">
        <is>
          <t>9780807032565</t>
        </is>
      </c>
      <c r="BE130" t="inlineStr">
        <is>
          <t>32285000352202</t>
        </is>
      </c>
      <c r="BF130" t="inlineStr">
        <is>
          <t>893332553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BL2530.U6 C47</t>
        </is>
      </c>
      <c r="E131" t="inlineStr">
        <is>
          <t>0                      BL 2530000U  6                  C  47</t>
        </is>
      </c>
      <c r="F131" t="inlineStr">
        <is>
          <t>Religion in contemporary society / H. Paul Chalfant, Robert E. Beckley, C. Eddie Palmer.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Chalfant, H. Paul, 1929-</t>
        </is>
      </c>
      <c r="N131" t="inlineStr">
        <is>
          <t>Sherman Oaks, Calif. : Alfred Pub. Co., c1981.</t>
        </is>
      </c>
      <c r="O131" t="inlineStr">
        <is>
          <t>1981</t>
        </is>
      </c>
      <c r="Q131" t="inlineStr">
        <is>
          <t>eng</t>
        </is>
      </c>
      <c r="R131" t="inlineStr">
        <is>
          <t>cau</t>
        </is>
      </c>
      <c r="T131" t="inlineStr">
        <is>
          <t xml:space="preserve">BL </t>
        </is>
      </c>
      <c r="U131" t="n">
        <v>3</v>
      </c>
      <c r="V131" t="n">
        <v>3</v>
      </c>
      <c r="W131" t="inlineStr">
        <is>
          <t>1996-09-22</t>
        </is>
      </c>
      <c r="X131" t="inlineStr">
        <is>
          <t>1996-09-22</t>
        </is>
      </c>
      <c r="Y131" t="inlineStr">
        <is>
          <t>1990-10-18</t>
        </is>
      </c>
      <c r="Z131" t="inlineStr">
        <is>
          <t>1990-10-18</t>
        </is>
      </c>
      <c r="AA131" t="n">
        <v>207</v>
      </c>
      <c r="AB131" t="n">
        <v>183</v>
      </c>
      <c r="AC131" t="n">
        <v>324</v>
      </c>
      <c r="AD131" t="n">
        <v>1</v>
      </c>
      <c r="AE131" t="n">
        <v>3</v>
      </c>
      <c r="AF131" t="n">
        <v>11</v>
      </c>
      <c r="AG131" t="n">
        <v>20</v>
      </c>
      <c r="AH131" t="n">
        <v>4</v>
      </c>
      <c r="AI131" t="n">
        <v>8</v>
      </c>
      <c r="AJ131" t="n">
        <v>2</v>
      </c>
      <c r="AK131" t="n">
        <v>5</v>
      </c>
      <c r="AL131" t="n">
        <v>9</v>
      </c>
      <c r="AM131" t="n">
        <v>12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HYPERLINK("https://creighton-primo.hosted.exlibrisgroup.com/primo-explore/search?tab=default_tab&amp;search_scope=EVERYTHING&amp;vid=01CRU&amp;lang=en_US&amp;offset=0&amp;query=any,contains,991005080989702656","Catalog Record")</f>
        <v/>
      </c>
      <c r="AV131">
        <f>HYPERLINK("http://www.worldcat.org/oclc/7171883","WorldCat Record")</f>
        <v/>
      </c>
      <c r="AW131" t="inlineStr">
        <is>
          <t>4345831:eng</t>
        </is>
      </c>
      <c r="AX131" t="inlineStr">
        <is>
          <t>7171883</t>
        </is>
      </c>
      <c r="AY131" t="inlineStr">
        <is>
          <t>991005080989702656</t>
        </is>
      </c>
      <c r="AZ131" t="inlineStr">
        <is>
          <t>991005080989702656</t>
        </is>
      </c>
      <c r="BA131" t="inlineStr">
        <is>
          <t>2255118020002656</t>
        </is>
      </c>
      <c r="BB131" t="inlineStr">
        <is>
          <t>BOOK</t>
        </is>
      </c>
      <c r="BD131" t="inlineStr">
        <is>
          <t>9780882841267</t>
        </is>
      </c>
      <c r="BE131" t="inlineStr">
        <is>
          <t>32285000352228</t>
        </is>
      </c>
      <c r="BF131" t="inlineStr">
        <is>
          <t>893533129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BL2530.U6 C69</t>
        </is>
      </c>
      <c r="E132" t="inlineStr">
        <is>
          <t>0                      BL 2530000U  6                  C  69</t>
        </is>
      </c>
      <c r="F132" t="inlineStr">
        <is>
          <t>Turning east : the promise and peril of the new orientalism / Harvey Cox.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Cox, Harvey, 1929-</t>
        </is>
      </c>
      <c r="N132" t="inlineStr">
        <is>
          <t>New York : Simon and Schuster, c1977.</t>
        </is>
      </c>
      <c r="O132" t="inlineStr">
        <is>
          <t>1977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BL </t>
        </is>
      </c>
      <c r="U132" t="n">
        <v>2</v>
      </c>
      <c r="V132" t="n">
        <v>2</v>
      </c>
      <c r="W132" t="inlineStr">
        <is>
          <t>1993-12-01</t>
        </is>
      </c>
      <c r="X132" t="inlineStr">
        <is>
          <t>1993-12-01</t>
        </is>
      </c>
      <c r="Y132" t="inlineStr">
        <is>
          <t>1990-10-18</t>
        </is>
      </c>
      <c r="Z132" t="inlineStr">
        <is>
          <t>1990-10-18</t>
        </is>
      </c>
      <c r="AA132" t="n">
        <v>965</v>
      </c>
      <c r="AB132" t="n">
        <v>879</v>
      </c>
      <c r="AC132" t="n">
        <v>883</v>
      </c>
      <c r="AD132" t="n">
        <v>6</v>
      </c>
      <c r="AE132" t="n">
        <v>6</v>
      </c>
      <c r="AF132" t="n">
        <v>32</v>
      </c>
      <c r="AG132" t="n">
        <v>32</v>
      </c>
      <c r="AH132" t="n">
        <v>11</v>
      </c>
      <c r="AI132" t="n">
        <v>11</v>
      </c>
      <c r="AJ132" t="n">
        <v>5</v>
      </c>
      <c r="AK132" t="n">
        <v>5</v>
      </c>
      <c r="AL132" t="n">
        <v>17</v>
      </c>
      <c r="AM132" t="n">
        <v>17</v>
      </c>
      <c r="AN132" t="n">
        <v>5</v>
      </c>
      <c r="AO132" t="n">
        <v>5</v>
      </c>
      <c r="AP132" t="n">
        <v>1</v>
      </c>
      <c r="AQ132" t="n">
        <v>1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HYPERLINK("https://creighton-primo.hosted.exlibrisgroup.com/primo-explore/search?tab=default_tab&amp;search_scope=EVERYTHING&amp;vid=01CRU&amp;lang=en_US&amp;offset=0&amp;query=any,contains,991004314069702656","Catalog Record")</f>
        <v/>
      </c>
      <c r="AV132">
        <f>HYPERLINK("http://www.worldcat.org/oclc/3002751","WorldCat Record")</f>
        <v/>
      </c>
      <c r="AW132" t="inlineStr">
        <is>
          <t>364697808:eng</t>
        </is>
      </c>
      <c r="AX132" t="inlineStr">
        <is>
          <t>3002751</t>
        </is>
      </c>
      <c r="AY132" t="inlineStr">
        <is>
          <t>991004314069702656</t>
        </is>
      </c>
      <c r="AZ132" t="inlineStr">
        <is>
          <t>991004314069702656</t>
        </is>
      </c>
      <c r="BA132" t="inlineStr">
        <is>
          <t>2272160980002656</t>
        </is>
      </c>
      <c r="BB132" t="inlineStr">
        <is>
          <t>BOOK</t>
        </is>
      </c>
      <c r="BD132" t="inlineStr">
        <is>
          <t>9780671228514</t>
        </is>
      </c>
      <c r="BE132" t="inlineStr">
        <is>
          <t>32285000352244</t>
        </is>
      </c>
      <c r="BF132" t="inlineStr">
        <is>
          <t>893687594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BL2530.U6 C84 1982</t>
        </is>
      </c>
      <c r="E133" t="inlineStr">
        <is>
          <t>0                      BL 2530000U  6                  C  84          1982</t>
        </is>
      </c>
      <c r="F133" t="inlineStr">
        <is>
          <t>Cults and the family / Florence Kaslow and Marvin B. Sussman.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Haworth Press, c1982.</t>
        </is>
      </c>
      <c r="O133" t="inlineStr">
        <is>
          <t>1982</t>
        </is>
      </c>
      <c r="Q133" t="inlineStr">
        <is>
          <t>eng</t>
        </is>
      </c>
      <c r="R133" t="inlineStr">
        <is>
          <t>nyu</t>
        </is>
      </c>
      <c r="S133" t="inlineStr">
        <is>
          <t>Marriage &amp; family review ; v. 4, no. 3/4</t>
        </is>
      </c>
      <c r="T133" t="inlineStr">
        <is>
          <t xml:space="preserve">BL </t>
        </is>
      </c>
      <c r="U133" t="n">
        <v>11</v>
      </c>
      <c r="V133" t="n">
        <v>11</v>
      </c>
      <c r="W133" t="inlineStr">
        <is>
          <t>1998-11-23</t>
        </is>
      </c>
      <c r="X133" t="inlineStr">
        <is>
          <t>1998-11-23</t>
        </is>
      </c>
      <c r="Y133" t="inlineStr">
        <is>
          <t>1990-10-18</t>
        </is>
      </c>
      <c r="Z133" t="inlineStr">
        <is>
          <t>1990-10-18</t>
        </is>
      </c>
      <c r="AA133" t="n">
        <v>450</v>
      </c>
      <c r="AB133" t="n">
        <v>397</v>
      </c>
      <c r="AC133" t="n">
        <v>403</v>
      </c>
      <c r="AD133" t="n">
        <v>2</v>
      </c>
      <c r="AE133" t="n">
        <v>2</v>
      </c>
      <c r="AF133" t="n">
        <v>20</v>
      </c>
      <c r="AG133" t="n">
        <v>20</v>
      </c>
      <c r="AH133" t="n">
        <v>9</v>
      </c>
      <c r="AI133" t="n">
        <v>9</v>
      </c>
      <c r="AJ133" t="n">
        <v>2</v>
      </c>
      <c r="AK133" t="n">
        <v>2</v>
      </c>
      <c r="AL133" t="n">
        <v>13</v>
      </c>
      <c r="AM133" t="n">
        <v>13</v>
      </c>
      <c r="AN133" t="n">
        <v>1</v>
      </c>
      <c r="AO133" t="n">
        <v>1</v>
      </c>
      <c r="AP133" t="n">
        <v>1</v>
      </c>
      <c r="AQ133" t="n">
        <v>1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HYPERLINK("https://creighton-primo.hosted.exlibrisgroup.com/primo-explore/search?tab=default_tab&amp;search_scope=EVERYTHING&amp;vid=01CRU&amp;lang=en_US&amp;offset=0&amp;query=any,contains,991005197159702656","Catalog Record")</f>
        <v/>
      </c>
      <c r="AV133">
        <f>HYPERLINK("http://www.worldcat.org/oclc/8051560","WorldCat Record")</f>
        <v/>
      </c>
      <c r="AW133" t="inlineStr">
        <is>
          <t>351743956:eng</t>
        </is>
      </c>
      <c r="AX133" t="inlineStr">
        <is>
          <t>8051560</t>
        </is>
      </c>
      <c r="AY133" t="inlineStr">
        <is>
          <t>991005197159702656</t>
        </is>
      </c>
      <c r="AZ133" t="inlineStr">
        <is>
          <t>991005197159702656</t>
        </is>
      </c>
      <c r="BA133" t="inlineStr">
        <is>
          <t>2258834900002656</t>
        </is>
      </c>
      <c r="BB133" t="inlineStr">
        <is>
          <t>BOOK</t>
        </is>
      </c>
      <c r="BD133" t="inlineStr">
        <is>
          <t>9780917724558</t>
        </is>
      </c>
      <c r="BE133" t="inlineStr">
        <is>
          <t>32285000352251</t>
        </is>
      </c>
      <c r="BF133" t="inlineStr">
        <is>
          <t>893719961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BL2530.U6 E44</t>
        </is>
      </c>
      <c r="E134" t="inlineStr">
        <is>
          <t>0                      BL 2530000U  6                  E  44</t>
        </is>
      </c>
      <c r="F134" t="inlineStr">
        <is>
          <t>Alternative altars : unconventional and Eastern spirituality in America / Robert S. Ellwood, Jr.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Ellwood, Robert S., 1933-</t>
        </is>
      </c>
      <c r="N134" t="inlineStr">
        <is>
          <t>Chicago : University of Chicago Press, 1979.</t>
        </is>
      </c>
      <c r="O134" t="inlineStr">
        <is>
          <t>1979</t>
        </is>
      </c>
      <c r="Q134" t="inlineStr">
        <is>
          <t>eng</t>
        </is>
      </c>
      <c r="R134" t="inlineStr">
        <is>
          <t>ilu</t>
        </is>
      </c>
      <c r="S134" t="inlineStr">
        <is>
          <t>Chicago history of American religion</t>
        </is>
      </c>
      <c r="T134" t="inlineStr">
        <is>
          <t xml:space="preserve">BL </t>
        </is>
      </c>
      <c r="U134" t="n">
        <v>1</v>
      </c>
      <c r="V134" t="n">
        <v>1</v>
      </c>
      <c r="W134" t="inlineStr">
        <is>
          <t>1992-04-16</t>
        </is>
      </c>
      <c r="X134" t="inlineStr">
        <is>
          <t>1992-04-16</t>
        </is>
      </c>
      <c r="Y134" t="inlineStr">
        <is>
          <t>1990-10-18</t>
        </is>
      </c>
      <c r="Z134" t="inlineStr">
        <is>
          <t>1990-10-18</t>
        </is>
      </c>
      <c r="AA134" t="n">
        <v>1123</v>
      </c>
      <c r="AB134" t="n">
        <v>998</v>
      </c>
      <c r="AC134" t="n">
        <v>1004</v>
      </c>
      <c r="AD134" t="n">
        <v>5</v>
      </c>
      <c r="AE134" t="n">
        <v>5</v>
      </c>
      <c r="AF134" t="n">
        <v>39</v>
      </c>
      <c r="AG134" t="n">
        <v>39</v>
      </c>
      <c r="AH134" t="n">
        <v>19</v>
      </c>
      <c r="AI134" t="n">
        <v>19</v>
      </c>
      <c r="AJ134" t="n">
        <v>7</v>
      </c>
      <c r="AK134" t="n">
        <v>7</v>
      </c>
      <c r="AL134" t="n">
        <v>17</v>
      </c>
      <c r="AM134" t="n">
        <v>17</v>
      </c>
      <c r="AN134" t="n">
        <v>4</v>
      </c>
      <c r="AO134" t="n">
        <v>4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HYPERLINK("https://creighton-primo.hosted.exlibrisgroup.com/primo-explore/search?tab=default_tab&amp;search_scope=EVERYTHING&amp;vid=01CRU&amp;lang=en_US&amp;offset=0&amp;query=any,contains,991004592609702656","Catalog Record")</f>
        <v/>
      </c>
      <c r="AV134">
        <f>HYPERLINK("http://www.worldcat.org/oclc/4135328","WorldCat Record")</f>
        <v/>
      </c>
      <c r="AW134" t="inlineStr">
        <is>
          <t>14587478:eng</t>
        </is>
      </c>
      <c r="AX134" t="inlineStr">
        <is>
          <t>4135328</t>
        </is>
      </c>
      <c r="AY134" t="inlineStr">
        <is>
          <t>991004592609702656</t>
        </is>
      </c>
      <c r="AZ134" t="inlineStr">
        <is>
          <t>991004592609702656</t>
        </is>
      </c>
      <c r="BA134" t="inlineStr">
        <is>
          <t>2254937840002656</t>
        </is>
      </c>
      <c r="BB134" t="inlineStr">
        <is>
          <t>BOOK</t>
        </is>
      </c>
      <c r="BD134" t="inlineStr">
        <is>
          <t>9780226206189</t>
        </is>
      </c>
      <c r="BE134" t="inlineStr">
        <is>
          <t>32285000352277</t>
        </is>
      </c>
      <c r="BF134" t="inlineStr">
        <is>
          <t>893618845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BL2530.U6 G38 1982</t>
        </is>
      </c>
      <c r="E135" t="inlineStr">
        <is>
          <t>0                      BL 2530000U  6                  G  38          1982</t>
        </is>
      </c>
      <c r="F135" t="inlineStr">
        <is>
          <t>A documentary history of religion in America / edited by Edwin S. Gaustad.</t>
        </is>
      </c>
      <c r="G135" t="inlineStr">
        <is>
          <t>V.2</t>
        </is>
      </c>
      <c r="H135" t="inlineStr">
        <is>
          <t>Yes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Gaustad, Edwin S. (Edwin Scott)</t>
        </is>
      </c>
      <c r="N135" t="inlineStr">
        <is>
          <t>Grand Rapids : Eerdmans, c1982-</t>
        </is>
      </c>
      <c r="O135" t="inlineStr">
        <is>
          <t>1982</t>
        </is>
      </c>
      <c r="Q135" t="inlineStr">
        <is>
          <t>eng</t>
        </is>
      </c>
      <c r="R135" t="inlineStr">
        <is>
          <t>miu</t>
        </is>
      </c>
      <c r="T135" t="inlineStr">
        <is>
          <t xml:space="preserve">BL </t>
        </is>
      </c>
      <c r="U135" t="n">
        <v>4</v>
      </c>
      <c r="V135" t="n">
        <v>14</v>
      </c>
      <c r="W135" t="inlineStr">
        <is>
          <t>2004-04-14</t>
        </is>
      </c>
      <c r="X135" t="inlineStr">
        <is>
          <t>2004-04-14</t>
        </is>
      </c>
      <c r="Y135" t="inlineStr">
        <is>
          <t>1990-10-18</t>
        </is>
      </c>
      <c r="Z135" t="inlineStr">
        <is>
          <t>1990-10-18</t>
        </is>
      </c>
      <c r="AA135" t="n">
        <v>1107</v>
      </c>
      <c r="AB135" t="n">
        <v>1008</v>
      </c>
      <c r="AC135" t="n">
        <v>1365</v>
      </c>
      <c r="AD135" t="n">
        <v>5</v>
      </c>
      <c r="AE135" t="n">
        <v>9</v>
      </c>
      <c r="AF135" t="n">
        <v>39</v>
      </c>
      <c r="AG135" t="n">
        <v>55</v>
      </c>
      <c r="AH135" t="n">
        <v>18</v>
      </c>
      <c r="AI135" t="n">
        <v>24</v>
      </c>
      <c r="AJ135" t="n">
        <v>7</v>
      </c>
      <c r="AK135" t="n">
        <v>10</v>
      </c>
      <c r="AL135" t="n">
        <v>21</v>
      </c>
      <c r="AM135" t="n">
        <v>26</v>
      </c>
      <c r="AN135" t="n">
        <v>4</v>
      </c>
      <c r="AO135" t="n">
        <v>8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HYPERLINK("http://catalog.hathitrust.org/Record/000269574","HathiTrust Record")</f>
        <v/>
      </c>
      <c r="AU135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5">
        <f>HYPERLINK("http://www.worldcat.org/oclc/8410921","WorldCat Record")</f>
        <v/>
      </c>
      <c r="AW135" t="inlineStr">
        <is>
          <t>353813978:eng</t>
        </is>
      </c>
      <c r="AX135" t="inlineStr">
        <is>
          <t>8410921</t>
        </is>
      </c>
      <c r="AY135" t="inlineStr">
        <is>
          <t>991005240559702656</t>
        </is>
      </c>
      <c r="AZ135" t="inlineStr">
        <is>
          <t>991005240559702656</t>
        </is>
      </c>
      <c r="BA135" t="inlineStr">
        <is>
          <t>2259496570002656</t>
        </is>
      </c>
      <c r="BB135" t="inlineStr">
        <is>
          <t>BOOK</t>
        </is>
      </c>
      <c r="BD135" t="inlineStr">
        <is>
          <t>9780802818713</t>
        </is>
      </c>
      <c r="BE135" t="inlineStr">
        <is>
          <t>32285000352301</t>
        </is>
      </c>
      <c r="BF135" t="inlineStr">
        <is>
          <t>893520690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BL2530.U6 G38 1982</t>
        </is>
      </c>
      <c r="E136" t="inlineStr">
        <is>
          <t>0                      BL 2530000U  6                  G  38          1982</t>
        </is>
      </c>
      <c r="F136" t="inlineStr">
        <is>
          <t>A documentary history of religion in America / edited by Edwin S. Gaustad.</t>
        </is>
      </c>
      <c r="G136" t="inlineStr">
        <is>
          <t>V.1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Gaustad, Edwin S. (Edwin Scott)</t>
        </is>
      </c>
      <c r="N136" t="inlineStr">
        <is>
          <t>Grand Rapids : Eerdmans, c1982-</t>
        </is>
      </c>
      <c r="O136" t="inlineStr">
        <is>
          <t>1982</t>
        </is>
      </c>
      <c r="Q136" t="inlineStr">
        <is>
          <t>eng</t>
        </is>
      </c>
      <c r="R136" t="inlineStr">
        <is>
          <t>miu</t>
        </is>
      </c>
      <c r="T136" t="inlineStr">
        <is>
          <t xml:space="preserve">BL </t>
        </is>
      </c>
      <c r="U136" t="n">
        <v>10</v>
      </c>
      <c r="V136" t="n">
        <v>14</v>
      </c>
      <c r="W136" t="inlineStr">
        <is>
          <t>2004-04-14</t>
        </is>
      </c>
      <c r="X136" t="inlineStr">
        <is>
          <t>2004-04-14</t>
        </is>
      </c>
      <c r="Y136" t="inlineStr">
        <is>
          <t>1990-10-18</t>
        </is>
      </c>
      <c r="Z136" t="inlineStr">
        <is>
          <t>1990-10-18</t>
        </is>
      </c>
      <c r="AA136" t="n">
        <v>1107</v>
      </c>
      <c r="AB136" t="n">
        <v>1008</v>
      </c>
      <c r="AC136" t="n">
        <v>1365</v>
      </c>
      <c r="AD136" t="n">
        <v>5</v>
      </c>
      <c r="AE136" t="n">
        <v>9</v>
      </c>
      <c r="AF136" t="n">
        <v>39</v>
      </c>
      <c r="AG136" t="n">
        <v>55</v>
      </c>
      <c r="AH136" t="n">
        <v>18</v>
      </c>
      <c r="AI136" t="n">
        <v>24</v>
      </c>
      <c r="AJ136" t="n">
        <v>7</v>
      </c>
      <c r="AK136" t="n">
        <v>10</v>
      </c>
      <c r="AL136" t="n">
        <v>21</v>
      </c>
      <c r="AM136" t="n">
        <v>26</v>
      </c>
      <c r="AN136" t="n">
        <v>4</v>
      </c>
      <c r="AO136" t="n">
        <v>8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HYPERLINK("http://catalog.hathitrust.org/Record/000269574","HathiTrust Record")</f>
        <v/>
      </c>
      <c r="AU136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6">
        <f>HYPERLINK("http://www.worldcat.org/oclc/8410921","WorldCat Record")</f>
        <v/>
      </c>
      <c r="AW136" t="inlineStr">
        <is>
          <t>353813978:eng</t>
        </is>
      </c>
      <c r="AX136" t="inlineStr">
        <is>
          <t>8410921</t>
        </is>
      </c>
      <c r="AY136" t="inlineStr">
        <is>
          <t>991005240559702656</t>
        </is>
      </c>
      <c r="AZ136" t="inlineStr">
        <is>
          <t>991005240559702656</t>
        </is>
      </c>
      <c r="BA136" t="inlineStr">
        <is>
          <t>2259496570002656</t>
        </is>
      </c>
      <c r="BB136" t="inlineStr">
        <is>
          <t>BOOK</t>
        </is>
      </c>
      <c r="BD136" t="inlineStr">
        <is>
          <t>9780802818713</t>
        </is>
      </c>
      <c r="BE136" t="inlineStr">
        <is>
          <t>32285000352293</t>
        </is>
      </c>
      <c r="BF136" t="inlineStr">
        <is>
          <t>893514313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BL2530.U6 I47</t>
        </is>
      </c>
      <c r="E137" t="inlineStr">
        <is>
          <t>0                      BL 2530000U  6                  I  47</t>
        </is>
      </c>
      <c r="F137" t="inlineStr">
        <is>
          <t>Immigrants and religion in urban America / edited by Randall M. Miller and Thomas D. Marzik.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Philadelphia : Temple University Press, c1977.</t>
        </is>
      </c>
      <c r="O137" t="inlineStr">
        <is>
          <t>1977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BL </t>
        </is>
      </c>
      <c r="U137" t="n">
        <v>6</v>
      </c>
      <c r="V137" t="n">
        <v>6</v>
      </c>
      <c r="W137" t="inlineStr">
        <is>
          <t>2007-11-07</t>
        </is>
      </c>
      <c r="X137" t="inlineStr">
        <is>
          <t>2007-11-07</t>
        </is>
      </c>
      <c r="Y137" t="inlineStr">
        <is>
          <t>1990-10-18</t>
        </is>
      </c>
      <c r="Z137" t="inlineStr">
        <is>
          <t>1990-10-18</t>
        </is>
      </c>
      <c r="AA137" t="n">
        <v>879</v>
      </c>
      <c r="AB137" t="n">
        <v>790</v>
      </c>
      <c r="AC137" t="n">
        <v>799</v>
      </c>
      <c r="AD137" t="n">
        <v>4</v>
      </c>
      <c r="AE137" t="n">
        <v>4</v>
      </c>
      <c r="AF137" t="n">
        <v>36</v>
      </c>
      <c r="AG137" t="n">
        <v>36</v>
      </c>
      <c r="AH137" t="n">
        <v>14</v>
      </c>
      <c r="AI137" t="n">
        <v>14</v>
      </c>
      <c r="AJ137" t="n">
        <v>8</v>
      </c>
      <c r="AK137" t="n">
        <v>8</v>
      </c>
      <c r="AL137" t="n">
        <v>22</v>
      </c>
      <c r="AM137" t="n">
        <v>22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HYPERLINK("http://catalog.hathitrust.org/Record/000294396","HathiTrust Record")</f>
        <v/>
      </c>
      <c r="AU137">
        <f>HYPERLINK("https://creighton-primo.hosted.exlibrisgroup.com/primo-explore/search?tab=default_tab&amp;search_scope=EVERYTHING&amp;vid=01CRU&amp;lang=en_US&amp;offset=0&amp;query=any,contains,991004371289702656","Catalog Record")</f>
        <v/>
      </c>
      <c r="AV137">
        <f>HYPERLINK("http://www.worldcat.org/oclc/3191671","WorldCat Record")</f>
        <v/>
      </c>
      <c r="AW137" t="inlineStr">
        <is>
          <t>346253304:eng</t>
        </is>
      </c>
      <c r="AX137" t="inlineStr">
        <is>
          <t>3191671</t>
        </is>
      </c>
      <c r="AY137" t="inlineStr">
        <is>
          <t>991004371289702656</t>
        </is>
      </c>
      <c r="AZ137" t="inlineStr">
        <is>
          <t>991004371289702656</t>
        </is>
      </c>
      <c r="BA137" t="inlineStr">
        <is>
          <t>2254827490002656</t>
        </is>
      </c>
      <c r="BB137" t="inlineStr">
        <is>
          <t>BOOK</t>
        </is>
      </c>
      <c r="BD137" t="inlineStr">
        <is>
          <t>9780877220930</t>
        </is>
      </c>
      <c r="BE137" t="inlineStr">
        <is>
          <t>32285000352335</t>
        </is>
      </c>
      <c r="BF137" t="inlineStr">
        <is>
          <t>893259647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BL2530.U6 M46</t>
        </is>
      </c>
      <c r="E138" t="inlineStr">
        <is>
          <t>0                      BL 2530000U  6                  M  46</t>
        </is>
      </c>
      <c r="F138" t="inlineStr">
        <is>
          <t>Religion at the polls / by Albert J. Menendez.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Menendez, Albert J.</t>
        </is>
      </c>
      <c r="N138" t="inlineStr">
        <is>
          <t>Philadelphia : Westminster Press, c1977.</t>
        </is>
      </c>
      <c r="O138" t="inlineStr">
        <is>
          <t>1977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BL </t>
        </is>
      </c>
      <c r="U138" t="n">
        <v>4</v>
      </c>
      <c r="V138" t="n">
        <v>4</v>
      </c>
      <c r="W138" t="inlineStr">
        <is>
          <t>2001-04-09</t>
        </is>
      </c>
      <c r="X138" t="inlineStr">
        <is>
          <t>2001-04-09</t>
        </is>
      </c>
      <c r="Y138" t="inlineStr">
        <is>
          <t>1990-10-18</t>
        </is>
      </c>
      <c r="Z138" t="inlineStr">
        <is>
          <t>1990-10-18</t>
        </is>
      </c>
      <c r="AA138" t="n">
        <v>721</v>
      </c>
      <c r="AB138" t="n">
        <v>678</v>
      </c>
      <c r="AC138" t="n">
        <v>682</v>
      </c>
      <c r="AD138" t="n">
        <v>6</v>
      </c>
      <c r="AE138" t="n">
        <v>6</v>
      </c>
      <c r="AF138" t="n">
        <v>31</v>
      </c>
      <c r="AG138" t="n">
        <v>31</v>
      </c>
      <c r="AH138" t="n">
        <v>11</v>
      </c>
      <c r="AI138" t="n">
        <v>11</v>
      </c>
      <c r="AJ138" t="n">
        <v>8</v>
      </c>
      <c r="AK138" t="n">
        <v>8</v>
      </c>
      <c r="AL138" t="n">
        <v>15</v>
      </c>
      <c r="AM138" t="n">
        <v>15</v>
      </c>
      <c r="AN138" t="n">
        <v>5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HYPERLINK("https://creighton-primo.hosted.exlibrisgroup.com/primo-explore/search?tab=default_tab&amp;search_scope=EVERYTHING&amp;vid=01CRU&amp;lang=en_US&amp;offset=0&amp;query=any,contains,991004197559702656","Catalog Record")</f>
        <v/>
      </c>
      <c r="AV138">
        <f>HYPERLINK("http://www.worldcat.org/oclc/2645417","WorldCat Record")</f>
        <v/>
      </c>
      <c r="AW138" t="inlineStr">
        <is>
          <t>5906167:eng</t>
        </is>
      </c>
      <c r="AX138" t="inlineStr">
        <is>
          <t>2645417</t>
        </is>
      </c>
      <c r="AY138" t="inlineStr">
        <is>
          <t>991004197559702656</t>
        </is>
      </c>
      <c r="AZ138" t="inlineStr">
        <is>
          <t>991004197559702656</t>
        </is>
      </c>
      <c r="BA138" t="inlineStr">
        <is>
          <t>2256460260002656</t>
        </is>
      </c>
      <c r="BB138" t="inlineStr">
        <is>
          <t>BOOK</t>
        </is>
      </c>
      <c r="BD138" t="inlineStr">
        <is>
          <t>9780664241179</t>
        </is>
      </c>
      <c r="BE138" t="inlineStr">
        <is>
          <t>32285000352343</t>
        </is>
      </c>
      <c r="BF138" t="inlineStr">
        <is>
          <t>893781954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BL2530.U6 M67</t>
        </is>
      </c>
      <c r="E139" t="inlineStr">
        <is>
          <t>0                      BL 2530000U  6                  M  67</t>
        </is>
      </c>
      <c r="F139" t="inlineStr">
        <is>
          <t>A cultural history of religion in America / James G. Moseley.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M139" t="inlineStr">
        <is>
          <t>Moseley, James G.</t>
        </is>
      </c>
      <c r="N139" t="inlineStr">
        <is>
          <t>Westport, Conn. : Greenwood Press, 1981.</t>
        </is>
      </c>
      <c r="O139" t="inlineStr">
        <is>
          <t>1981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BL </t>
        </is>
      </c>
      <c r="U139" t="n">
        <v>2</v>
      </c>
      <c r="V139" t="n">
        <v>2</v>
      </c>
      <c r="W139" t="inlineStr">
        <is>
          <t>1996-09-22</t>
        </is>
      </c>
      <c r="X139" t="inlineStr">
        <is>
          <t>1996-09-22</t>
        </is>
      </c>
      <c r="Y139" t="inlineStr">
        <is>
          <t>1990-10-18</t>
        </is>
      </c>
      <c r="Z139" t="inlineStr">
        <is>
          <t>1990-10-18</t>
        </is>
      </c>
      <c r="AA139" t="n">
        <v>606</v>
      </c>
      <c r="AB139" t="n">
        <v>533</v>
      </c>
      <c r="AC139" t="n">
        <v>541</v>
      </c>
      <c r="AD139" t="n">
        <v>5</v>
      </c>
      <c r="AE139" t="n">
        <v>5</v>
      </c>
      <c r="AF139" t="n">
        <v>20</v>
      </c>
      <c r="AG139" t="n">
        <v>20</v>
      </c>
      <c r="AH139" t="n">
        <v>6</v>
      </c>
      <c r="AI139" t="n">
        <v>6</v>
      </c>
      <c r="AJ139" t="n">
        <v>4</v>
      </c>
      <c r="AK139" t="n">
        <v>4</v>
      </c>
      <c r="AL139" t="n">
        <v>11</v>
      </c>
      <c r="AM139" t="n">
        <v>11</v>
      </c>
      <c r="AN139" t="n">
        <v>4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HYPERLINK("http://catalog.hathitrust.org/Record/000106550","HathiTrust Record")</f>
        <v/>
      </c>
      <c r="AU139">
        <f>HYPERLINK("https://creighton-primo.hosted.exlibrisgroup.com/primo-explore/search?tab=default_tab&amp;search_scope=EVERYTHING&amp;vid=01CRU&amp;lang=en_US&amp;offset=0&amp;query=any,contains,991005029859702656","Catalog Record")</f>
        <v/>
      </c>
      <c r="AV139">
        <f>HYPERLINK("http://www.worldcat.org/oclc/6709065","WorldCat Record")</f>
        <v/>
      </c>
      <c r="AW139" t="inlineStr">
        <is>
          <t>446389:eng</t>
        </is>
      </c>
      <c r="AX139" t="inlineStr">
        <is>
          <t>6709065</t>
        </is>
      </c>
      <c r="AY139" t="inlineStr">
        <is>
          <t>991005029859702656</t>
        </is>
      </c>
      <c r="AZ139" t="inlineStr">
        <is>
          <t>991005029859702656</t>
        </is>
      </c>
      <c r="BA139" t="inlineStr">
        <is>
          <t>2256541930002656</t>
        </is>
      </c>
      <c r="BB139" t="inlineStr">
        <is>
          <t>BOOK</t>
        </is>
      </c>
      <c r="BD139" t="inlineStr">
        <is>
          <t>9780313224799</t>
        </is>
      </c>
      <c r="BE139" t="inlineStr">
        <is>
          <t>32285000352350</t>
        </is>
      </c>
      <c r="BF139" t="inlineStr">
        <is>
          <t>893776720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BL2530.U6 R43</t>
        </is>
      </c>
      <c r="E140" t="inlineStr">
        <is>
          <t>0                      BL 2530000U  6                  R  43</t>
        </is>
      </c>
      <c r="F140" t="inlineStr">
        <is>
          <t>Religions in America / edited by Herbert L. Marx, Jr.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New York : H. W. Wilson Co., 1977.</t>
        </is>
      </c>
      <c r="O140" t="inlineStr">
        <is>
          <t>1977</t>
        </is>
      </c>
      <c r="Q140" t="inlineStr">
        <is>
          <t>eng</t>
        </is>
      </c>
      <c r="R140" t="inlineStr">
        <is>
          <t>nyu</t>
        </is>
      </c>
      <c r="S140" t="inlineStr">
        <is>
          <t>The Reference shelf ; v. 49, no.6</t>
        </is>
      </c>
      <c r="T140" t="inlineStr">
        <is>
          <t xml:space="preserve">BL </t>
        </is>
      </c>
      <c r="U140" t="n">
        <v>2</v>
      </c>
      <c r="V140" t="n">
        <v>2</v>
      </c>
      <c r="W140" t="inlineStr">
        <is>
          <t>1996-03-25</t>
        </is>
      </c>
      <c r="X140" t="inlineStr">
        <is>
          <t>1996-03-25</t>
        </is>
      </c>
      <c r="Y140" t="inlineStr">
        <is>
          <t>1990-02-28</t>
        </is>
      </c>
      <c r="Z140" t="inlineStr">
        <is>
          <t>1990-02-28</t>
        </is>
      </c>
      <c r="AA140" t="n">
        <v>1295</v>
      </c>
      <c r="AB140" t="n">
        <v>1241</v>
      </c>
      <c r="AC140" t="n">
        <v>1257</v>
      </c>
      <c r="AD140" t="n">
        <v>11</v>
      </c>
      <c r="AE140" t="n">
        <v>11</v>
      </c>
      <c r="AF140" t="n">
        <v>33</v>
      </c>
      <c r="AG140" t="n">
        <v>35</v>
      </c>
      <c r="AH140" t="n">
        <v>12</v>
      </c>
      <c r="AI140" t="n">
        <v>13</v>
      </c>
      <c r="AJ140" t="n">
        <v>3</v>
      </c>
      <c r="AK140" t="n">
        <v>4</v>
      </c>
      <c r="AL140" t="n">
        <v>18</v>
      </c>
      <c r="AM140" t="n">
        <v>18</v>
      </c>
      <c r="AN140" t="n">
        <v>7</v>
      </c>
      <c r="AO140" t="n">
        <v>7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HYPERLINK("http://catalog.hathitrust.org/Record/000751354","HathiTrust Record")</f>
        <v/>
      </c>
      <c r="AU140">
        <f>HYPERLINK("https://creighton-primo.hosted.exlibrisgroup.com/primo-explore/search?tab=default_tab&amp;search_scope=EVERYTHING&amp;vid=01CRU&amp;lang=en_US&amp;offset=0&amp;query=any,contains,991004425659702656","Catalog Record")</f>
        <v/>
      </c>
      <c r="AV140">
        <f>HYPERLINK("http://www.worldcat.org/oclc/3397234","WorldCat Record")</f>
        <v/>
      </c>
      <c r="AW140" t="inlineStr">
        <is>
          <t>490708:eng</t>
        </is>
      </c>
      <c r="AX140" t="inlineStr">
        <is>
          <t>3397234</t>
        </is>
      </c>
      <c r="AY140" t="inlineStr">
        <is>
          <t>991004425659702656</t>
        </is>
      </c>
      <c r="AZ140" t="inlineStr">
        <is>
          <t>991004425659702656</t>
        </is>
      </c>
      <c r="BA140" t="inlineStr">
        <is>
          <t>2267146460002656</t>
        </is>
      </c>
      <c r="BB140" t="inlineStr">
        <is>
          <t>BOOK</t>
        </is>
      </c>
      <c r="BD140" t="inlineStr">
        <is>
          <t>9780824206086</t>
        </is>
      </c>
      <c r="BE140" t="inlineStr">
        <is>
          <t>32285000070192</t>
        </is>
      </c>
      <c r="BF140" t="inlineStr">
        <is>
          <t>893888682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BL2530.U6 S66 1977</t>
        </is>
      </c>
      <c r="E141" t="inlineStr">
        <is>
          <t>0                      BL 2530000U  6                  S  66          1977</t>
        </is>
      </c>
      <c r="F141" t="inlineStr">
        <is>
          <t>God and America's future / Frederick Sontag &amp; John K. Roth.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Sontag, Frederick.</t>
        </is>
      </c>
      <c r="N141" t="inlineStr">
        <is>
          <t>Wilmington, N.C. : McGrath Pub. Co., c1977.</t>
        </is>
      </c>
      <c r="O141" t="inlineStr">
        <is>
          <t>1977</t>
        </is>
      </c>
      <c r="Q141" t="inlineStr">
        <is>
          <t>eng</t>
        </is>
      </c>
      <c r="R141" t="inlineStr">
        <is>
          <t>ncu</t>
        </is>
      </c>
      <c r="T141" t="inlineStr">
        <is>
          <t xml:space="preserve">BL </t>
        </is>
      </c>
      <c r="U141" t="n">
        <v>2</v>
      </c>
      <c r="V141" t="n">
        <v>2</v>
      </c>
      <c r="W141" t="inlineStr">
        <is>
          <t>2000-08-23</t>
        </is>
      </c>
      <c r="X141" t="inlineStr">
        <is>
          <t>2000-08-23</t>
        </is>
      </c>
      <c r="Y141" t="inlineStr">
        <is>
          <t>2000-08-21</t>
        </is>
      </c>
      <c r="Z141" t="inlineStr">
        <is>
          <t>2000-08-21</t>
        </is>
      </c>
      <c r="AA141" t="n">
        <v>216</v>
      </c>
      <c r="AB141" t="n">
        <v>206</v>
      </c>
      <c r="AC141" t="n">
        <v>212</v>
      </c>
      <c r="AD141" t="n">
        <v>1</v>
      </c>
      <c r="AE141" t="n">
        <v>1</v>
      </c>
      <c r="AF141" t="n">
        <v>10</v>
      </c>
      <c r="AG141" t="n">
        <v>10</v>
      </c>
      <c r="AH141" t="n">
        <v>3</v>
      </c>
      <c r="AI141" t="n">
        <v>3</v>
      </c>
      <c r="AJ141" t="n">
        <v>3</v>
      </c>
      <c r="AK141" t="n">
        <v>3</v>
      </c>
      <c r="AL141" t="n">
        <v>6</v>
      </c>
      <c r="AM141" t="n">
        <v>6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HYPERLINK("http://catalog.hathitrust.org/Record/006909002","HathiTrust Record")</f>
        <v/>
      </c>
      <c r="AU141">
        <f>HYPERLINK("https://creighton-primo.hosted.exlibrisgroup.com/primo-explore/search?tab=default_tab&amp;search_scope=EVERYTHING&amp;vid=01CRU&amp;lang=en_US&amp;offset=0&amp;query=any,contains,991003269279702656","Catalog Record")</f>
        <v/>
      </c>
      <c r="AV141">
        <f>HYPERLINK("http://www.worldcat.org/oclc/3202876","WorldCat Record")</f>
        <v/>
      </c>
      <c r="AW141" t="inlineStr">
        <is>
          <t>8318110:eng</t>
        </is>
      </c>
      <c r="AX141" t="inlineStr">
        <is>
          <t>3202876</t>
        </is>
      </c>
      <c r="AY141" t="inlineStr">
        <is>
          <t>991003269279702656</t>
        </is>
      </c>
      <c r="AZ141" t="inlineStr">
        <is>
          <t>991003269279702656</t>
        </is>
      </c>
      <c r="BA141" t="inlineStr">
        <is>
          <t>2270496860002656</t>
        </is>
      </c>
      <c r="BB141" t="inlineStr">
        <is>
          <t>BOOK</t>
        </is>
      </c>
      <c r="BD141" t="inlineStr">
        <is>
          <t>9780843406412</t>
        </is>
      </c>
      <c r="BE141" t="inlineStr">
        <is>
          <t>32285003757910</t>
        </is>
      </c>
      <c r="BF141" t="inlineStr">
        <is>
          <t>893805591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BL256 .R49 1983</t>
        </is>
      </c>
      <c r="E142" t="inlineStr">
        <is>
          <t>0                      BL 0256000R  49          1983</t>
        </is>
      </c>
      <c r="F142" t="inlineStr">
        <is>
          <t>The biology of religion / V. Reynolds, R.E.S. Tanner ; with illustrations by Penelope Dell.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Reynolds, Vernon.</t>
        </is>
      </c>
      <c r="N142" t="inlineStr">
        <is>
          <t>London ; New York : Longman, 1983.</t>
        </is>
      </c>
      <c r="O142" t="inlineStr">
        <is>
          <t>1983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BL </t>
        </is>
      </c>
      <c r="U142" t="n">
        <v>10</v>
      </c>
      <c r="V142" t="n">
        <v>10</v>
      </c>
      <c r="W142" t="inlineStr">
        <is>
          <t>2001-03-25</t>
        </is>
      </c>
      <c r="X142" t="inlineStr">
        <is>
          <t>2001-03-25</t>
        </is>
      </c>
      <c r="Y142" t="inlineStr">
        <is>
          <t>1990-10-05</t>
        </is>
      </c>
      <c r="Z142" t="inlineStr">
        <is>
          <t>1990-10-05</t>
        </is>
      </c>
      <c r="AA142" t="n">
        <v>389</v>
      </c>
      <c r="AB142" t="n">
        <v>251</v>
      </c>
      <c r="AC142" t="n">
        <v>257</v>
      </c>
      <c r="AD142" t="n">
        <v>3</v>
      </c>
      <c r="AE142" t="n">
        <v>3</v>
      </c>
      <c r="AF142" t="n">
        <v>10</v>
      </c>
      <c r="AG142" t="n">
        <v>10</v>
      </c>
      <c r="AH142" t="n">
        <v>1</v>
      </c>
      <c r="AI142" t="n">
        <v>1</v>
      </c>
      <c r="AJ142" t="n">
        <v>3</v>
      </c>
      <c r="AK142" t="n">
        <v>3</v>
      </c>
      <c r="AL142" t="n">
        <v>6</v>
      </c>
      <c r="AM142" t="n">
        <v>6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HYPERLINK("http://catalog.hathitrust.org/Record/000118759","HathiTrust Record")</f>
        <v/>
      </c>
      <c r="AU142">
        <f>HYPERLINK("https://creighton-primo.hosted.exlibrisgroup.com/primo-explore/search?tab=default_tab&amp;search_scope=EVERYTHING&amp;vid=01CRU&amp;lang=en_US&amp;offset=0&amp;query=any,contains,991005233169702656","Catalog Record")</f>
        <v/>
      </c>
      <c r="AV142">
        <f>HYPERLINK("http://www.worldcat.org/oclc/8346177","WorldCat Record")</f>
        <v/>
      </c>
      <c r="AW142" t="inlineStr">
        <is>
          <t>20354159:eng</t>
        </is>
      </c>
      <c r="AX142" t="inlineStr">
        <is>
          <t>8346177</t>
        </is>
      </c>
      <c r="AY142" t="inlineStr">
        <is>
          <t>991005233169702656</t>
        </is>
      </c>
      <c r="AZ142" t="inlineStr">
        <is>
          <t>991005233169702656</t>
        </is>
      </c>
      <c r="BA142" t="inlineStr">
        <is>
          <t>2263409060002656</t>
        </is>
      </c>
      <c r="BB142" t="inlineStr">
        <is>
          <t>BOOK</t>
        </is>
      </c>
      <c r="BD142" t="inlineStr">
        <is>
          <t>9780582300217</t>
        </is>
      </c>
      <c r="BE142" t="inlineStr">
        <is>
          <t>32285000334002</t>
        </is>
      </c>
      <c r="BF142" t="inlineStr">
        <is>
          <t>893332640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BL256 .T36 1986</t>
        </is>
      </c>
      <c r="E143" t="inlineStr">
        <is>
          <t>0                      BL 0256000T  36          1986</t>
        </is>
      </c>
      <c r="F143" t="inlineStr">
        <is>
          <t>Beyond explanation : religious dimensions in cultural anthropology / Mark Kline Taylor.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Taylor, Mark L. (Mark Lewis), 1951-</t>
        </is>
      </c>
      <c r="N143" t="inlineStr">
        <is>
          <t>Macon, GA : Mercer, c1986.</t>
        </is>
      </c>
      <c r="O143" t="inlineStr">
        <is>
          <t>1986</t>
        </is>
      </c>
      <c r="Q143" t="inlineStr">
        <is>
          <t>eng</t>
        </is>
      </c>
      <c r="R143" t="inlineStr">
        <is>
          <t>gau</t>
        </is>
      </c>
      <c r="T143" t="inlineStr">
        <is>
          <t xml:space="preserve">BL </t>
        </is>
      </c>
      <c r="U143" t="n">
        <v>4</v>
      </c>
      <c r="V143" t="n">
        <v>4</v>
      </c>
      <c r="W143" t="inlineStr">
        <is>
          <t>2006-04-17</t>
        </is>
      </c>
      <c r="X143" t="inlineStr">
        <is>
          <t>2006-04-17</t>
        </is>
      </c>
      <c r="Y143" t="inlineStr">
        <is>
          <t>1990-10-05</t>
        </is>
      </c>
      <c r="Z143" t="inlineStr">
        <is>
          <t>1990-10-05</t>
        </is>
      </c>
      <c r="AA143" t="n">
        <v>363</v>
      </c>
      <c r="AB143" t="n">
        <v>313</v>
      </c>
      <c r="AC143" t="n">
        <v>329</v>
      </c>
      <c r="AD143" t="n">
        <v>3</v>
      </c>
      <c r="AE143" t="n">
        <v>3</v>
      </c>
      <c r="AF143" t="n">
        <v>19</v>
      </c>
      <c r="AG143" t="n">
        <v>19</v>
      </c>
      <c r="AH143" t="n">
        <v>5</v>
      </c>
      <c r="AI143" t="n">
        <v>5</v>
      </c>
      <c r="AJ143" t="n">
        <v>3</v>
      </c>
      <c r="AK143" t="n">
        <v>3</v>
      </c>
      <c r="AL143" t="n">
        <v>13</v>
      </c>
      <c r="AM143" t="n">
        <v>13</v>
      </c>
      <c r="AN143" t="n">
        <v>2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HYPERLINK("http://catalog.hathitrust.org/Record/000384197","HathiTrust Record")</f>
        <v/>
      </c>
      <c r="AU143">
        <f>HYPERLINK("https://creighton-primo.hosted.exlibrisgroup.com/primo-explore/search?tab=default_tab&amp;search_scope=EVERYTHING&amp;vid=01CRU&amp;lang=en_US&amp;offset=0&amp;query=any,contains,991000652979702656","Catalog Record")</f>
        <v/>
      </c>
      <c r="AV143">
        <f>HYPERLINK("http://www.worldcat.org/oclc/12188771","WorldCat Record")</f>
        <v/>
      </c>
      <c r="AW143" t="inlineStr">
        <is>
          <t>364162651:eng</t>
        </is>
      </c>
      <c r="AX143" t="inlineStr">
        <is>
          <t>12188771</t>
        </is>
      </c>
      <c r="AY143" t="inlineStr">
        <is>
          <t>991000652979702656</t>
        </is>
      </c>
      <c r="AZ143" t="inlineStr">
        <is>
          <t>991000652979702656</t>
        </is>
      </c>
      <c r="BA143" t="inlineStr">
        <is>
          <t>2254725860002656</t>
        </is>
      </c>
      <c r="BB143" t="inlineStr">
        <is>
          <t>BOOK</t>
        </is>
      </c>
      <c r="BD143" t="inlineStr">
        <is>
          <t>9780865541658</t>
        </is>
      </c>
      <c r="BE143" t="inlineStr">
        <is>
          <t>32285000334028</t>
        </is>
      </c>
      <c r="BF143" t="inlineStr">
        <is>
          <t>893321227</t>
        </is>
      </c>
    </row>
    <row r="144">
      <c r="A144" t="inlineStr">
        <is>
          <t>No</t>
        </is>
      </c>
      <c r="B144" t="inlineStr">
        <is>
          <t>CURAL</t>
        </is>
      </c>
      <c r="C144" t="inlineStr">
        <is>
          <t>SHELVES</t>
        </is>
      </c>
      <c r="D144" t="inlineStr">
        <is>
          <t>BL256 .T5</t>
        </is>
      </c>
      <c r="E144" t="inlineStr">
        <is>
          <t>0                      BL 0256000T  5</t>
        </is>
      </c>
      <c r="F144" t="inlineStr">
        <is>
          <t>Christian anthropology / with an introduction by Chas. G. Herbermann.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Thein, John, -1912.</t>
        </is>
      </c>
      <c r="N144" t="inlineStr">
        <is>
          <t>New York : Benziger, 1892.</t>
        </is>
      </c>
      <c r="O144" t="inlineStr">
        <is>
          <t>1892</t>
        </is>
      </c>
      <c r="Q144" t="inlineStr">
        <is>
          <t>eng</t>
        </is>
      </c>
      <c r="R144" t="inlineStr">
        <is>
          <t xml:space="preserve">xx </t>
        </is>
      </c>
      <c r="T144" t="inlineStr">
        <is>
          <t xml:space="preserve">BL </t>
        </is>
      </c>
      <c r="U144" t="n">
        <v>1</v>
      </c>
      <c r="V144" t="n">
        <v>1</v>
      </c>
      <c r="W144" t="inlineStr">
        <is>
          <t>2006-12-10</t>
        </is>
      </c>
      <c r="X144" t="inlineStr">
        <is>
          <t>2006-12-10</t>
        </is>
      </c>
      <c r="Y144" t="inlineStr">
        <is>
          <t>1990-10-05</t>
        </is>
      </c>
      <c r="Z144" t="inlineStr">
        <is>
          <t>1990-10-05</t>
        </is>
      </c>
      <c r="AA144" t="n">
        <v>57</v>
      </c>
      <c r="AB144" t="n">
        <v>54</v>
      </c>
      <c r="AC144" t="n">
        <v>89</v>
      </c>
      <c r="AD144" t="n">
        <v>1</v>
      </c>
      <c r="AE144" t="n">
        <v>2</v>
      </c>
      <c r="AF144" t="n">
        <v>10</v>
      </c>
      <c r="AG144" t="n">
        <v>13</v>
      </c>
      <c r="AH144" t="n">
        <v>2</v>
      </c>
      <c r="AI144" t="n">
        <v>3</v>
      </c>
      <c r="AJ144" t="n">
        <v>3</v>
      </c>
      <c r="AK144" t="n">
        <v>4</v>
      </c>
      <c r="AL144" t="n">
        <v>7</v>
      </c>
      <c r="AM144" t="n">
        <v>8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Yes</t>
        </is>
      </c>
      <c r="AS144" t="inlineStr">
        <is>
          <t>No</t>
        </is>
      </c>
      <c r="AT144">
        <f>HYPERLINK("http://catalog.hathitrust.org/Record/100770764","HathiTrust Record")</f>
        <v/>
      </c>
      <c r="AU144">
        <f>HYPERLINK("https://creighton-primo.hosted.exlibrisgroup.com/primo-explore/search?tab=default_tab&amp;search_scope=EVERYTHING&amp;vid=01CRU&amp;lang=en_US&amp;offset=0&amp;query=any,contains,991004165199702656","Catalog Record")</f>
        <v/>
      </c>
      <c r="AV144">
        <f>HYPERLINK("http://www.worldcat.org/oclc/2564991","WorldCat Record")</f>
        <v/>
      </c>
      <c r="AW144" t="inlineStr">
        <is>
          <t>42992091:eng</t>
        </is>
      </c>
      <c r="AX144" t="inlineStr">
        <is>
          <t>2564991</t>
        </is>
      </c>
      <c r="AY144" t="inlineStr">
        <is>
          <t>991004165199702656</t>
        </is>
      </c>
      <c r="AZ144" t="inlineStr">
        <is>
          <t>991004165199702656</t>
        </is>
      </c>
      <c r="BA144" t="inlineStr">
        <is>
          <t>2254827310002656</t>
        </is>
      </c>
      <c r="BB144" t="inlineStr">
        <is>
          <t>BOOK</t>
        </is>
      </c>
      <c r="BE144" t="inlineStr">
        <is>
          <t>32285000334036</t>
        </is>
      </c>
      <c r="BF144" t="inlineStr">
        <is>
          <t>893894647</t>
        </is>
      </c>
    </row>
    <row r="145">
      <c r="A145" t="inlineStr">
        <is>
          <t>No</t>
        </is>
      </c>
      <c r="B145" t="inlineStr">
        <is>
          <t>CURAL</t>
        </is>
      </c>
      <c r="C145" t="inlineStr">
        <is>
          <t>SHELVES</t>
        </is>
      </c>
      <c r="D145" t="inlineStr">
        <is>
          <t>BL2592.C35 W33 1991</t>
        </is>
      </c>
      <c r="E145" t="inlineStr">
        <is>
          <t>0                      BL 2592000C  35                 W  33          1991</t>
        </is>
      </c>
      <c r="F145" t="inlineStr">
        <is>
          <t>The taste of blood : spirit possession in Brazilian Candomblé / Jim Wafer.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Wafer, James William, 1948-</t>
        </is>
      </c>
      <c r="N145" t="inlineStr">
        <is>
          <t>Philadelphia : University of Pennsylvania Press,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S145" t="inlineStr">
        <is>
          <t>Contemporary ethnography series</t>
        </is>
      </c>
      <c r="T145" t="inlineStr">
        <is>
          <t xml:space="preserve">BL </t>
        </is>
      </c>
      <c r="U145" t="n">
        <v>2</v>
      </c>
      <c r="V145" t="n">
        <v>2</v>
      </c>
      <c r="W145" t="inlineStr">
        <is>
          <t>2010-05-03</t>
        </is>
      </c>
      <c r="X145" t="inlineStr">
        <is>
          <t>2010-05-03</t>
        </is>
      </c>
      <c r="Y145" t="inlineStr">
        <is>
          <t>2008-03-25</t>
        </is>
      </c>
      <c r="Z145" t="inlineStr">
        <is>
          <t>2008-03-25</t>
        </is>
      </c>
      <c r="AA145" t="n">
        <v>421</v>
      </c>
      <c r="AB145" t="n">
        <v>340</v>
      </c>
      <c r="AC145" t="n">
        <v>852</v>
      </c>
      <c r="AD145" t="n">
        <v>1</v>
      </c>
      <c r="AE145" t="n">
        <v>5</v>
      </c>
      <c r="AF145" t="n">
        <v>12</v>
      </c>
      <c r="AG145" t="n">
        <v>37</v>
      </c>
      <c r="AH145" t="n">
        <v>4</v>
      </c>
      <c r="AI145" t="n">
        <v>14</v>
      </c>
      <c r="AJ145" t="n">
        <v>3</v>
      </c>
      <c r="AK145" t="n">
        <v>9</v>
      </c>
      <c r="AL145" t="n">
        <v>8</v>
      </c>
      <c r="AM145" t="n">
        <v>16</v>
      </c>
      <c r="AN145" t="n">
        <v>0</v>
      </c>
      <c r="AO145" t="n">
        <v>4</v>
      </c>
      <c r="AP145" t="n">
        <v>0</v>
      </c>
      <c r="AQ145" t="n">
        <v>1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HYPERLINK("http://catalog.hathitrust.org/Record/002481947","HathiTrust Record")</f>
        <v/>
      </c>
      <c r="AU145">
        <f>HYPERLINK("https://creighton-primo.hosted.exlibrisgroup.com/primo-explore/search?tab=default_tab&amp;search_scope=EVERYTHING&amp;vid=01CRU&amp;lang=en_US&amp;offset=0&amp;query=any,contains,991005196559702656","Catalog Record")</f>
        <v/>
      </c>
      <c r="AV145">
        <f>HYPERLINK("http://www.worldcat.org/oclc/22956368","WorldCat Record")</f>
        <v/>
      </c>
      <c r="AW145" t="inlineStr">
        <is>
          <t>1010321:eng</t>
        </is>
      </c>
      <c r="AX145" t="inlineStr">
        <is>
          <t>22956368</t>
        </is>
      </c>
      <c r="AY145" t="inlineStr">
        <is>
          <t>991005196559702656</t>
        </is>
      </c>
      <c r="AZ145" t="inlineStr">
        <is>
          <t>991005196559702656</t>
        </is>
      </c>
      <c r="BA145" t="inlineStr">
        <is>
          <t>2260525370002656</t>
        </is>
      </c>
      <c r="BB145" t="inlineStr">
        <is>
          <t>BOOK</t>
        </is>
      </c>
      <c r="BD145" t="inlineStr">
        <is>
          <t>9780812213416</t>
        </is>
      </c>
      <c r="BE145" t="inlineStr">
        <is>
          <t>32285005397939</t>
        </is>
      </c>
      <c r="BF145" t="inlineStr">
        <is>
          <t>893795770</t>
        </is>
      </c>
    </row>
    <row r="146">
      <c r="A146" t="inlineStr">
        <is>
          <t>No</t>
        </is>
      </c>
      <c r="B146" t="inlineStr">
        <is>
          <t>CURAL</t>
        </is>
      </c>
      <c r="C146" t="inlineStr">
        <is>
          <t>SHELVES</t>
        </is>
      </c>
      <c r="D146" t="inlineStr">
        <is>
          <t>BL2600 .P6</t>
        </is>
      </c>
      <c r="E146" t="inlineStr">
        <is>
          <t>0                      BL 2600000P  6</t>
        </is>
      </c>
      <c r="F146" t="inlineStr">
        <is>
          <t>Oceanic mythology: the myths of Polynesia, Micronesia, Melanesia, Australia / Roslyn Poignant.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Poignant, Roslyn.</t>
        </is>
      </c>
      <c r="N146" t="inlineStr">
        <is>
          <t>London, Hamlyn [1967]</t>
        </is>
      </c>
      <c r="O146" t="inlineStr">
        <is>
          <t>1967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BL </t>
        </is>
      </c>
      <c r="U146" t="n">
        <v>1</v>
      </c>
      <c r="V146" t="n">
        <v>1</v>
      </c>
      <c r="W146" t="inlineStr">
        <is>
          <t>1992-06-29</t>
        </is>
      </c>
      <c r="X146" t="inlineStr">
        <is>
          <t>1992-06-29</t>
        </is>
      </c>
      <c r="Y146" t="inlineStr">
        <is>
          <t>1990-08-16</t>
        </is>
      </c>
      <c r="Z146" t="inlineStr">
        <is>
          <t>1990-08-16</t>
        </is>
      </c>
      <c r="AA146" t="n">
        <v>1582</v>
      </c>
      <c r="AB146" t="n">
        <v>1365</v>
      </c>
      <c r="AC146" t="n">
        <v>1383</v>
      </c>
      <c r="AD146" t="n">
        <v>11</v>
      </c>
      <c r="AE146" t="n">
        <v>11</v>
      </c>
      <c r="AF146" t="n">
        <v>32</v>
      </c>
      <c r="AG146" t="n">
        <v>32</v>
      </c>
      <c r="AH146" t="n">
        <v>11</v>
      </c>
      <c r="AI146" t="n">
        <v>11</v>
      </c>
      <c r="AJ146" t="n">
        <v>7</v>
      </c>
      <c r="AK146" t="n">
        <v>7</v>
      </c>
      <c r="AL146" t="n">
        <v>16</v>
      </c>
      <c r="AM146" t="n">
        <v>16</v>
      </c>
      <c r="AN146" t="n">
        <v>5</v>
      </c>
      <c r="AO146" t="n">
        <v>5</v>
      </c>
      <c r="AP146" t="n">
        <v>1</v>
      </c>
      <c r="AQ146" t="n">
        <v>1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HYPERLINK("http://catalog.hathitrust.org/Record/001395111","HathiTrust Record")</f>
        <v/>
      </c>
      <c r="AU146">
        <f>HYPERLINK("https://creighton-primo.hosted.exlibrisgroup.com/primo-explore/search?tab=default_tab&amp;search_scope=EVERYTHING&amp;vid=01CRU&amp;lang=en_US&amp;offset=0&amp;query=any,contains,991002651929702656","Catalog Record")</f>
        <v/>
      </c>
      <c r="AV146">
        <f>HYPERLINK("http://www.worldcat.org/oclc/387374","WorldCat Record")</f>
        <v/>
      </c>
      <c r="AW146" t="inlineStr">
        <is>
          <t>196073364:eng</t>
        </is>
      </c>
      <c r="AX146" t="inlineStr">
        <is>
          <t>387374</t>
        </is>
      </c>
      <c r="AY146" t="inlineStr">
        <is>
          <t>991002651929702656</t>
        </is>
      </c>
      <c r="AZ146" t="inlineStr">
        <is>
          <t>991002651929702656</t>
        </is>
      </c>
      <c r="BA146" t="inlineStr">
        <is>
          <t>2258189390002656</t>
        </is>
      </c>
      <c r="BB146" t="inlineStr">
        <is>
          <t>BOOK</t>
        </is>
      </c>
      <c r="BE146" t="inlineStr">
        <is>
          <t>32285000290295</t>
        </is>
      </c>
      <c r="BF146" t="inlineStr">
        <is>
          <t>893904002</t>
        </is>
      </c>
    </row>
    <row r="147">
      <c r="A147" t="inlineStr">
        <is>
          <t>No</t>
        </is>
      </c>
      <c r="B147" t="inlineStr">
        <is>
          <t>CURAL</t>
        </is>
      </c>
      <c r="C147" t="inlineStr">
        <is>
          <t>SHELVES</t>
        </is>
      </c>
      <c r="D147" t="inlineStr">
        <is>
          <t>BL262 .K7</t>
        </is>
      </c>
      <c r="E147" t="inlineStr">
        <is>
          <t>0                      BL 0262000K  7</t>
        </is>
      </c>
      <c r="F147" t="inlineStr">
        <is>
          <t>Notes of a Catholic biologist, by George A. Kreidel.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Kreidel, George A.</t>
        </is>
      </c>
      <c r="N147" t="inlineStr">
        <is>
          <t>St. Louis, Mo. : B. Herder book co., 1922.</t>
        </is>
      </c>
      <c r="O147" t="inlineStr">
        <is>
          <t>1922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BL </t>
        </is>
      </c>
      <c r="U147" t="n">
        <v>2</v>
      </c>
      <c r="V147" t="n">
        <v>2</v>
      </c>
      <c r="W147" t="inlineStr">
        <is>
          <t>1996-02-11</t>
        </is>
      </c>
      <c r="X147" t="inlineStr">
        <is>
          <t>1996-02-11</t>
        </is>
      </c>
      <c r="Y147" t="inlineStr">
        <is>
          <t>1990-10-05</t>
        </is>
      </c>
      <c r="Z147" t="inlineStr">
        <is>
          <t>1990-10-05</t>
        </is>
      </c>
      <c r="AA147" t="n">
        <v>67</v>
      </c>
      <c r="AB147" t="n">
        <v>59</v>
      </c>
      <c r="AC147" t="n">
        <v>65</v>
      </c>
      <c r="AD147" t="n">
        <v>1</v>
      </c>
      <c r="AE147" t="n">
        <v>1</v>
      </c>
      <c r="AF147" t="n">
        <v>13</v>
      </c>
      <c r="AG147" t="n">
        <v>13</v>
      </c>
      <c r="AH147" t="n">
        <v>4</v>
      </c>
      <c r="AI147" t="n">
        <v>4</v>
      </c>
      <c r="AJ147" t="n">
        <v>3</v>
      </c>
      <c r="AK147" t="n">
        <v>3</v>
      </c>
      <c r="AL147" t="n">
        <v>9</v>
      </c>
      <c r="AM147" t="n">
        <v>9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Yes</t>
        </is>
      </c>
      <c r="AS147" t="inlineStr">
        <is>
          <t>No</t>
        </is>
      </c>
      <c r="AT147">
        <f>HYPERLINK("http://catalog.hathitrust.org/Record/100535709","HathiTrust Record")</f>
        <v/>
      </c>
      <c r="AU147">
        <f>HYPERLINK("https://creighton-primo.hosted.exlibrisgroup.com/primo-explore/search?tab=default_tab&amp;search_scope=EVERYTHING&amp;vid=01CRU&amp;lang=en_US&amp;offset=0&amp;query=any,contains,991004537589702656","Catalog Record")</f>
        <v/>
      </c>
      <c r="AV147">
        <f>HYPERLINK("http://www.worldcat.org/oclc/3875074","WorldCat Record")</f>
        <v/>
      </c>
      <c r="AW147" t="inlineStr">
        <is>
          <t>2217914236:eng</t>
        </is>
      </c>
      <c r="AX147" t="inlineStr">
        <is>
          <t>3875074</t>
        </is>
      </c>
      <c r="AY147" t="inlineStr">
        <is>
          <t>991004537589702656</t>
        </is>
      </c>
      <c r="AZ147" t="inlineStr">
        <is>
          <t>991004537589702656</t>
        </is>
      </c>
      <c r="BA147" t="inlineStr">
        <is>
          <t>2269262090002656</t>
        </is>
      </c>
      <c r="BB147" t="inlineStr">
        <is>
          <t>BOOK</t>
        </is>
      </c>
      <c r="BE147" t="inlineStr">
        <is>
          <t>32285000334044</t>
        </is>
      </c>
      <c r="BF147" t="inlineStr">
        <is>
          <t>893519776</t>
        </is>
      </c>
    </row>
    <row r="148">
      <c r="A148" t="inlineStr">
        <is>
          <t>No</t>
        </is>
      </c>
      <c r="B148" t="inlineStr">
        <is>
          <t>CURAL</t>
        </is>
      </c>
      <c r="C148" t="inlineStr">
        <is>
          <t>SHELVES</t>
        </is>
      </c>
      <c r="D148" t="inlineStr">
        <is>
          <t>BL263 .A5</t>
        </is>
      </c>
      <c r="E148" t="inlineStr">
        <is>
          <t>0                      BL 0263000A  5</t>
        </is>
      </c>
      <c r="F148" t="inlineStr">
        <is>
          <t>Bryan and Darrow at Dayton; the record and documents of the "Bible-evolution trial", edited and compiled by Leslie H. Allen.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Allen, Leslie H. (Leslie Henri), 1887-, editor.</t>
        </is>
      </c>
      <c r="N148" t="inlineStr">
        <is>
          <t>New York, A. Lee &amp; company [c1925]</t>
        </is>
      </c>
      <c r="O148" t="inlineStr">
        <is>
          <t>1925</t>
        </is>
      </c>
      <c r="Q148" t="inlineStr">
        <is>
          <t>eng</t>
        </is>
      </c>
      <c r="R148" t="inlineStr">
        <is>
          <t>___</t>
        </is>
      </c>
      <c r="T148" t="inlineStr">
        <is>
          <t xml:space="preserve">BL </t>
        </is>
      </c>
      <c r="U148" t="n">
        <v>5</v>
      </c>
      <c r="V148" t="n">
        <v>5</v>
      </c>
      <c r="W148" t="inlineStr">
        <is>
          <t>1999-04-12</t>
        </is>
      </c>
      <c r="X148" t="inlineStr">
        <is>
          <t>1999-04-12</t>
        </is>
      </c>
      <c r="Y148" t="inlineStr">
        <is>
          <t>1990-05-07</t>
        </is>
      </c>
      <c r="Z148" t="inlineStr">
        <is>
          <t>1990-05-07</t>
        </is>
      </c>
      <c r="AA148" t="n">
        <v>155</v>
      </c>
      <c r="AB148" t="n">
        <v>140</v>
      </c>
      <c r="AC148" t="n">
        <v>635</v>
      </c>
      <c r="AD148" t="n">
        <v>2</v>
      </c>
      <c r="AE148" t="n">
        <v>7</v>
      </c>
      <c r="AF148" t="n">
        <v>8</v>
      </c>
      <c r="AG148" t="n">
        <v>38</v>
      </c>
      <c r="AH148" t="n">
        <v>0</v>
      </c>
      <c r="AI148" t="n">
        <v>5</v>
      </c>
      <c r="AJ148" t="n">
        <v>1</v>
      </c>
      <c r="AK148" t="n">
        <v>5</v>
      </c>
      <c r="AL148" t="n">
        <v>4</v>
      </c>
      <c r="AM148" t="n">
        <v>8</v>
      </c>
      <c r="AN148" t="n">
        <v>1</v>
      </c>
      <c r="AO148" t="n">
        <v>4</v>
      </c>
      <c r="AP148" t="n">
        <v>3</v>
      </c>
      <c r="AQ148" t="n">
        <v>19</v>
      </c>
      <c r="AR148" t="inlineStr">
        <is>
          <t>Yes</t>
        </is>
      </c>
      <c r="AS148" t="inlineStr">
        <is>
          <t>No</t>
        </is>
      </c>
      <c r="AT148">
        <f>HYPERLINK("http://catalog.hathitrust.org/Record/001392023","HathiTrust Record")</f>
        <v/>
      </c>
      <c r="AU148">
        <f>HYPERLINK("https://creighton-primo.hosted.exlibrisgroup.com/primo-explore/search?tab=default_tab&amp;search_scope=EVERYTHING&amp;vid=01CRU&amp;lang=en_US&amp;offset=0&amp;query=any,contains,991003158599702656","Catalog Record")</f>
        <v/>
      </c>
      <c r="AV148">
        <f>HYPERLINK("http://www.worldcat.org/oclc/697839","WorldCat Record")</f>
        <v/>
      </c>
      <c r="AW148" t="inlineStr">
        <is>
          <t>803050860:eng</t>
        </is>
      </c>
      <c r="AX148" t="inlineStr">
        <is>
          <t>697839</t>
        </is>
      </c>
      <c r="AY148" t="inlineStr">
        <is>
          <t>991003158599702656</t>
        </is>
      </c>
      <c r="AZ148" t="inlineStr">
        <is>
          <t>991003158599702656</t>
        </is>
      </c>
      <c r="BA148" t="inlineStr">
        <is>
          <t>2264306660002656</t>
        </is>
      </c>
      <c r="BB148" t="inlineStr">
        <is>
          <t>BOOK</t>
        </is>
      </c>
      <c r="BE148" t="inlineStr">
        <is>
          <t>32285000150150</t>
        </is>
      </c>
      <c r="BF148" t="inlineStr">
        <is>
          <t>893592243</t>
        </is>
      </c>
    </row>
    <row r="149">
      <c r="A149" t="inlineStr">
        <is>
          <t>No</t>
        </is>
      </c>
      <c r="B149" t="inlineStr">
        <is>
          <t>CURAL</t>
        </is>
      </c>
      <c r="C149" t="inlineStr">
        <is>
          <t>SHELVES</t>
        </is>
      </c>
      <c r="D149" t="inlineStr">
        <is>
          <t>BL263 .C72513</t>
        </is>
      </c>
      <c r="E149" t="inlineStr">
        <is>
          <t>0                      BL 0263000C  72513</t>
        </is>
      </c>
      <c r="F149" t="inlineStr">
        <is>
          <t>God tomorrow. Translated by Matthew J. O'Connell.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Combaluzier, Charles, 1903-</t>
        </is>
      </c>
      <c r="N149" t="inlineStr">
        <is>
          <t>New York, Paulist Press [1974]</t>
        </is>
      </c>
      <c r="O149" t="inlineStr">
        <is>
          <t>1974</t>
        </is>
      </c>
      <c r="Q149" t="inlineStr">
        <is>
          <t>eng</t>
        </is>
      </c>
      <c r="R149" t="inlineStr">
        <is>
          <t>nyu</t>
        </is>
      </c>
      <c r="T149" t="inlineStr">
        <is>
          <t xml:space="preserve">BL </t>
        </is>
      </c>
      <c r="U149" t="n">
        <v>2</v>
      </c>
      <c r="V149" t="n">
        <v>2</v>
      </c>
      <c r="W149" t="inlineStr">
        <is>
          <t>1997-04-02</t>
        </is>
      </c>
      <c r="X149" t="inlineStr">
        <is>
          <t>1997-04-02</t>
        </is>
      </c>
      <c r="Y149" t="inlineStr">
        <is>
          <t>1990-10-05</t>
        </is>
      </c>
      <c r="Z149" t="inlineStr">
        <is>
          <t>1990-10-05</t>
        </is>
      </c>
      <c r="AA149" t="n">
        <v>126</v>
      </c>
      <c r="AB149" t="n">
        <v>110</v>
      </c>
      <c r="AC149" t="n">
        <v>110</v>
      </c>
      <c r="AD149" t="n">
        <v>2</v>
      </c>
      <c r="AE149" t="n">
        <v>2</v>
      </c>
      <c r="AF149" t="n">
        <v>13</v>
      </c>
      <c r="AG149" t="n">
        <v>13</v>
      </c>
      <c r="AH149" t="n">
        <v>2</v>
      </c>
      <c r="AI149" t="n">
        <v>2</v>
      </c>
      <c r="AJ149" t="n">
        <v>4</v>
      </c>
      <c r="AK149" t="n">
        <v>4</v>
      </c>
      <c r="AL149" t="n">
        <v>10</v>
      </c>
      <c r="AM149" t="n">
        <v>10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HYPERLINK("https://creighton-primo.hosted.exlibrisgroup.com/primo-explore/search?tab=default_tab&amp;search_scope=EVERYTHING&amp;vid=01CRU&amp;lang=en_US&amp;offset=0&amp;query=any,contains,991003468669702656","Catalog Record")</f>
        <v/>
      </c>
      <c r="AV149">
        <f>HYPERLINK("http://www.worldcat.org/oclc/1009837","WorldCat Record")</f>
        <v/>
      </c>
      <c r="AW149" t="inlineStr">
        <is>
          <t>1930100:eng</t>
        </is>
      </c>
      <c r="AX149" t="inlineStr">
        <is>
          <t>1009837</t>
        </is>
      </c>
      <c r="AY149" t="inlineStr">
        <is>
          <t>991003468669702656</t>
        </is>
      </c>
      <c r="AZ149" t="inlineStr">
        <is>
          <t>991003468669702656</t>
        </is>
      </c>
      <c r="BA149" t="inlineStr">
        <is>
          <t>2263855560002656</t>
        </is>
      </c>
      <c r="BB149" t="inlineStr">
        <is>
          <t>BOOK</t>
        </is>
      </c>
      <c r="BD149" t="inlineStr">
        <is>
          <t>9780809118359</t>
        </is>
      </c>
      <c r="BE149" t="inlineStr">
        <is>
          <t>32285000334051</t>
        </is>
      </c>
      <c r="BF149" t="inlineStr">
        <is>
          <t>893318000</t>
        </is>
      </c>
    </row>
    <row r="150">
      <c r="A150" t="inlineStr">
        <is>
          <t>No</t>
        </is>
      </c>
      <c r="B150" t="inlineStr">
        <is>
          <t>CURAL</t>
        </is>
      </c>
      <c r="C150" t="inlineStr">
        <is>
          <t>SHELVES</t>
        </is>
      </c>
      <c r="D150" t="inlineStr">
        <is>
          <t>BL263 .D76</t>
        </is>
      </c>
      <c r="E150" t="inlineStr">
        <is>
          <t>0                      BL 0263000D  76</t>
        </is>
      </c>
      <c r="F150" t="inlineStr">
        <is>
          <t>Darwinism and Catholic thought / by Canon Dorlodot ; translated by Ernest Messenger.</t>
        </is>
      </c>
      <c r="G150" t="inlineStr">
        <is>
          <t>V. 1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Dorlodot, Henry de, 1855-1929.</t>
        </is>
      </c>
      <c r="N150" t="inlineStr">
        <is>
          <t>New York : Benziger Brothers, 1923-</t>
        </is>
      </c>
      <c r="O150" t="inlineStr">
        <is>
          <t>1923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BL </t>
        </is>
      </c>
      <c r="U150" t="n">
        <v>6</v>
      </c>
      <c r="V150" t="n">
        <v>6</v>
      </c>
      <c r="W150" t="inlineStr">
        <is>
          <t>2002-04-18</t>
        </is>
      </c>
      <c r="X150" t="inlineStr">
        <is>
          <t>2002-04-18</t>
        </is>
      </c>
      <c r="Y150" t="inlineStr">
        <is>
          <t>1990-10-05</t>
        </is>
      </c>
      <c r="Z150" t="inlineStr">
        <is>
          <t>1990-10-05</t>
        </is>
      </c>
      <c r="AA150" t="n">
        <v>24</v>
      </c>
      <c r="AB150" t="n">
        <v>23</v>
      </c>
      <c r="AC150" t="n">
        <v>114</v>
      </c>
      <c r="AD150" t="n">
        <v>1</v>
      </c>
      <c r="AE150" t="n">
        <v>1</v>
      </c>
      <c r="AF150" t="n">
        <v>5</v>
      </c>
      <c r="AG150" t="n">
        <v>17</v>
      </c>
      <c r="AH150" t="n">
        <v>0</v>
      </c>
      <c r="AI150" t="n">
        <v>4</v>
      </c>
      <c r="AJ150" t="n">
        <v>1</v>
      </c>
      <c r="AK150" t="n">
        <v>3</v>
      </c>
      <c r="AL150" t="n">
        <v>5</v>
      </c>
      <c r="AM150" t="n">
        <v>13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HYPERLINK("https://creighton-primo.hosted.exlibrisgroup.com/primo-explore/search?tab=default_tab&amp;search_scope=EVERYTHING&amp;vid=01CRU&amp;lang=en_US&amp;offset=0&amp;query=any,contains,991004906919702656","Catalog Record")</f>
        <v/>
      </c>
      <c r="AV150">
        <f>HYPERLINK("http://www.worldcat.org/oclc/5955576","WorldCat Record")</f>
        <v/>
      </c>
      <c r="AW150" t="inlineStr">
        <is>
          <t>3901142607:eng</t>
        </is>
      </c>
      <c r="AX150" t="inlineStr">
        <is>
          <t>5955576</t>
        </is>
      </c>
      <c r="AY150" t="inlineStr">
        <is>
          <t>991004906919702656</t>
        </is>
      </c>
      <c r="AZ150" t="inlineStr">
        <is>
          <t>991004906919702656</t>
        </is>
      </c>
      <c r="BA150" t="inlineStr">
        <is>
          <t>2269249170002656</t>
        </is>
      </c>
      <c r="BB150" t="inlineStr">
        <is>
          <t>BOOK</t>
        </is>
      </c>
      <c r="BE150" t="inlineStr">
        <is>
          <t>32285000334069</t>
        </is>
      </c>
      <c r="BF150" t="inlineStr">
        <is>
          <t>893905117</t>
        </is>
      </c>
    </row>
    <row r="151">
      <c r="A151" t="inlineStr">
        <is>
          <t>No</t>
        </is>
      </c>
      <c r="B151" t="inlineStr">
        <is>
          <t>CURAL</t>
        </is>
      </c>
      <c r="C151" t="inlineStr">
        <is>
          <t>SHELVES</t>
        </is>
      </c>
      <c r="D151" t="inlineStr">
        <is>
          <t>BL263 .G66</t>
        </is>
      </c>
      <c r="E151" t="inlineStr">
        <is>
          <t>0                      BL 0263000G  66</t>
        </is>
      </c>
      <c r="F151" t="inlineStr">
        <is>
          <t>Darwin and the modern world view.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Greene, John C.</t>
        </is>
      </c>
      <c r="N151" t="inlineStr">
        <is>
          <t>Baton Rouge, Louisiana State University Press [1961]</t>
        </is>
      </c>
      <c r="O151" t="inlineStr">
        <is>
          <t>1961</t>
        </is>
      </c>
      <c r="Q151" t="inlineStr">
        <is>
          <t>eng</t>
        </is>
      </c>
      <c r="R151" t="inlineStr">
        <is>
          <t>___</t>
        </is>
      </c>
      <c r="S151" t="inlineStr">
        <is>
          <t>Rockwell lectures, Rice University</t>
        </is>
      </c>
      <c r="T151" t="inlineStr">
        <is>
          <t xml:space="preserve">BL </t>
        </is>
      </c>
      <c r="U151" t="n">
        <v>11</v>
      </c>
      <c r="V151" t="n">
        <v>11</v>
      </c>
      <c r="W151" t="inlineStr">
        <is>
          <t>2001-11-08</t>
        </is>
      </c>
      <c r="X151" t="inlineStr">
        <is>
          <t>2001-11-08</t>
        </is>
      </c>
      <c r="Y151" t="inlineStr">
        <is>
          <t>1990-10-05</t>
        </is>
      </c>
      <c r="Z151" t="inlineStr">
        <is>
          <t>1990-10-05</t>
        </is>
      </c>
      <c r="AA151" t="n">
        <v>806</v>
      </c>
      <c r="AB151" t="n">
        <v>715</v>
      </c>
      <c r="AC151" t="n">
        <v>871</v>
      </c>
      <c r="AD151" t="n">
        <v>3</v>
      </c>
      <c r="AE151" t="n">
        <v>5</v>
      </c>
      <c r="AF151" t="n">
        <v>32</v>
      </c>
      <c r="AG151" t="n">
        <v>38</v>
      </c>
      <c r="AH151" t="n">
        <v>11</v>
      </c>
      <c r="AI151" t="n">
        <v>13</v>
      </c>
      <c r="AJ151" t="n">
        <v>7</v>
      </c>
      <c r="AK151" t="n">
        <v>8</v>
      </c>
      <c r="AL151" t="n">
        <v>20</v>
      </c>
      <c r="AM151" t="n">
        <v>21</v>
      </c>
      <c r="AN151" t="n">
        <v>2</v>
      </c>
      <c r="AO151" t="n">
        <v>4</v>
      </c>
      <c r="AP151" t="n">
        <v>0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HYPERLINK("http://catalog.hathitrust.org/Record/001392032","HathiTrust Record")</f>
        <v/>
      </c>
      <c r="AU151">
        <f>HYPERLINK("https://creighton-primo.hosted.exlibrisgroup.com/primo-explore/search?tab=default_tab&amp;search_scope=EVERYTHING&amp;vid=01CRU&amp;lang=en_US&amp;offset=0&amp;query=any,contains,991002404269702656","Catalog Record")</f>
        <v/>
      </c>
      <c r="AV151">
        <f>HYPERLINK("http://www.worldcat.org/oclc/338408","WorldCat Record")</f>
        <v/>
      </c>
      <c r="AW151" t="inlineStr">
        <is>
          <t>463494:eng</t>
        </is>
      </c>
      <c r="AX151" t="inlineStr">
        <is>
          <t>338408</t>
        </is>
      </c>
      <c r="AY151" t="inlineStr">
        <is>
          <t>991002404269702656</t>
        </is>
      </c>
      <c r="AZ151" t="inlineStr">
        <is>
          <t>991002404269702656</t>
        </is>
      </c>
      <c r="BA151" t="inlineStr">
        <is>
          <t>2257096620002656</t>
        </is>
      </c>
      <c r="BB151" t="inlineStr">
        <is>
          <t>BOOK</t>
        </is>
      </c>
      <c r="BE151" t="inlineStr">
        <is>
          <t>32285000334085</t>
        </is>
      </c>
      <c r="BF151" t="inlineStr">
        <is>
          <t>893609827</t>
        </is>
      </c>
    </row>
    <row r="152">
      <c r="A152" t="inlineStr">
        <is>
          <t>No</t>
        </is>
      </c>
      <c r="B152" t="inlineStr">
        <is>
          <t>CURAL</t>
        </is>
      </c>
      <c r="C152" t="inlineStr">
        <is>
          <t>SHELVES</t>
        </is>
      </c>
      <c r="D152" t="inlineStr">
        <is>
          <t>BL263 .H8313 1966</t>
        </is>
      </c>
      <c r="E152" t="inlineStr">
        <is>
          <t>0                      BL 0263000H  8313        1966</t>
        </is>
      </c>
      <c r="F152" t="inlineStr">
        <is>
          <t>God in creation and evolution [by] A. Hulsbosch. Translated by Martin Versfeld.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Hulsbosch, A. (Ansfridus), 1912-1973.</t>
        </is>
      </c>
      <c r="N152" t="inlineStr">
        <is>
          <t>New York, Sheed and Ward [1966, c1965]</t>
        </is>
      </c>
      <c r="O152" t="inlineStr">
        <is>
          <t>1966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BL </t>
        </is>
      </c>
      <c r="U152" t="n">
        <v>11</v>
      </c>
      <c r="V152" t="n">
        <v>11</v>
      </c>
      <c r="W152" t="inlineStr">
        <is>
          <t>1997-04-02</t>
        </is>
      </c>
      <c r="X152" t="inlineStr">
        <is>
          <t>1997-04-02</t>
        </is>
      </c>
      <c r="Y152" t="inlineStr">
        <is>
          <t>1990-10-05</t>
        </is>
      </c>
      <c r="Z152" t="inlineStr">
        <is>
          <t>1990-10-05</t>
        </is>
      </c>
      <c r="AA152" t="n">
        <v>327</v>
      </c>
      <c r="AB152" t="n">
        <v>306</v>
      </c>
      <c r="AC152" t="n">
        <v>353</v>
      </c>
      <c r="AD152" t="n">
        <v>3</v>
      </c>
      <c r="AE152" t="n">
        <v>3</v>
      </c>
      <c r="AF152" t="n">
        <v>33</v>
      </c>
      <c r="AG152" t="n">
        <v>36</v>
      </c>
      <c r="AH152" t="n">
        <v>15</v>
      </c>
      <c r="AI152" t="n">
        <v>15</v>
      </c>
      <c r="AJ152" t="n">
        <v>8</v>
      </c>
      <c r="AK152" t="n">
        <v>8</v>
      </c>
      <c r="AL152" t="n">
        <v>20</v>
      </c>
      <c r="AM152" t="n">
        <v>23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HYPERLINK("https://creighton-primo.hosted.exlibrisgroup.com/primo-explore/search?tab=default_tab&amp;search_scope=EVERYTHING&amp;vid=01CRU&amp;lang=en_US&amp;offset=0&amp;query=any,contains,991003131329702656","Catalog Record")</f>
        <v/>
      </c>
      <c r="AV152">
        <f>HYPERLINK("http://www.worldcat.org/oclc/674489","WorldCat Record")</f>
        <v/>
      </c>
      <c r="AW152" t="inlineStr">
        <is>
          <t>3768576957:eng</t>
        </is>
      </c>
      <c r="AX152" t="inlineStr">
        <is>
          <t>674489</t>
        </is>
      </c>
      <c r="AY152" t="inlineStr">
        <is>
          <t>991003131329702656</t>
        </is>
      </c>
      <c r="AZ152" t="inlineStr">
        <is>
          <t>991003131329702656</t>
        </is>
      </c>
      <c r="BA152" t="inlineStr">
        <is>
          <t>2269457390002656</t>
        </is>
      </c>
      <c r="BB152" t="inlineStr">
        <is>
          <t>BOOK</t>
        </is>
      </c>
      <c r="BE152" t="inlineStr">
        <is>
          <t>32285000334119</t>
        </is>
      </c>
      <c r="BF152" t="inlineStr">
        <is>
          <t>893711088</t>
        </is>
      </c>
    </row>
    <row r="153">
      <c r="A153" t="inlineStr">
        <is>
          <t>No</t>
        </is>
      </c>
      <c r="B153" t="inlineStr">
        <is>
          <t>CURAL</t>
        </is>
      </c>
      <c r="C153" t="inlineStr">
        <is>
          <t>SHELVES</t>
        </is>
      </c>
      <c r="D153" t="inlineStr">
        <is>
          <t>BL263 .K4</t>
        </is>
      </c>
      <c r="E153" t="inlineStr">
        <is>
          <t>0                      BL 0263000K  4</t>
        </is>
      </c>
      <c r="F153" t="inlineStr">
        <is>
          <t>I believe in God and in evolution / by William W. Keen.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Keen, William W. (William Williams), 1837-1932.</t>
        </is>
      </c>
      <c r="N153" t="inlineStr">
        <is>
          <t>Philadelphia : J.B. Lippincott, c1923.</t>
        </is>
      </c>
      <c r="O153" t="inlineStr">
        <is>
          <t>1923</t>
        </is>
      </c>
      <c r="P153" t="inlineStr">
        <is>
          <t>2d ed.</t>
        </is>
      </c>
      <c r="Q153" t="inlineStr">
        <is>
          <t>eng</t>
        </is>
      </c>
      <c r="R153" t="inlineStr">
        <is>
          <t>pau</t>
        </is>
      </c>
      <c r="T153" t="inlineStr">
        <is>
          <t xml:space="preserve">BL </t>
        </is>
      </c>
      <c r="U153" t="n">
        <v>6</v>
      </c>
      <c r="V153" t="n">
        <v>6</v>
      </c>
      <c r="W153" t="inlineStr">
        <is>
          <t>2004-04-24</t>
        </is>
      </c>
      <c r="X153" t="inlineStr">
        <is>
          <t>2004-04-24</t>
        </is>
      </c>
      <c r="Y153" t="inlineStr">
        <is>
          <t>1990-10-05</t>
        </is>
      </c>
      <c r="Z153" t="inlineStr">
        <is>
          <t>1990-10-05</t>
        </is>
      </c>
      <c r="AA153" t="n">
        <v>100</v>
      </c>
      <c r="AB153" t="n">
        <v>85</v>
      </c>
      <c r="AC153" t="n">
        <v>275</v>
      </c>
      <c r="AD153" t="n">
        <v>1</v>
      </c>
      <c r="AE153" t="n">
        <v>3</v>
      </c>
      <c r="AF153" t="n">
        <v>2</v>
      </c>
      <c r="AG153" t="n">
        <v>12</v>
      </c>
      <c r="AH153" t="n">
        <v>2</v>
      </c>
      <c r="AI153" t="n">
        <v>6</v>
      </c>
      <c r="AJ153" t="n">
        <v>0</v>
      </c>
      <c r="AK153" t="n">
        <v>1</v>
      </c>
      <c r="AL153" t="n">
        <v>0</v>
      </c>
      <c r="AM153" t="n">
        <v>2</v>
      </c>
      <c r="AN153" t="n">
        <v>0</v>
      </c>
      <c r="AO153" t="n">
        <v>2</v>
      </c>
      <c r="AP153" t="n">
        <v>0</v>
      </c>
      <c r="AQ153" t="n">
        <v>1</v>
      </c>
      <c r="AR153" t="inlineStr">
        <is>
          <t>Yes</t>
        </is>
      </c>
      <c r="AS153" t="inlineStr">
        <is>
          <t>No</t>
        </is>
      </c>
      <c r="AT153">
        <f>HYPERLINK("http://catalog.hathitrust.org/Record/006524879","HathiTrust Record")</f>
        <v/>
      </c>
      <c r="AU153">
        <f>HYPERLINK("https://creighton-primo.hosted.exlibrisgroup.com/primo-explore/search?tab=default_tab&amp;search_scope=EVERYTHING&amp;vid=01CRU&amp;lang=en_US&amp;offset=0&amp;query=any,contains,991000039789702656","Catalog Record")</f>
        <v/>
      </c>
      <c r="AV153">
        <f>HYPERLINK("http://www.worldcat.org/oclc/2680048","WorldCat Record")</f>
        <v/>
      </c>
      <c r="AW153" t="inlineStr">
        <is>
          <t>2086413:eng</t>
        </is>
      </c>
      <c r="AX153" t="inlineStr">
        <is>
          <t>2680048</t>
        </is>
      </c>
      <c r="AY153" t="inlineStr">
        <is>
          <t>991000039789702656</t>
        </is>
      </c>
      <c r="AZ153" t="inlineStr">
        <is>
          <t>991000039789702656</t>
        </is>
      </c>
      <c r="BA153" t="inlineStr">
        <is>
          <t>2268017210002656</t>
        </is>
      </c>
      <c r="BB153" t="inlineStr">
        <is>
          <t>BOOK</t>
        </is>
      </c>
      <c r="BE153" t="inlineStr">
        <is>
          <t>32285000334127</t>
        </is>
      </c>
      <c r="BF153" t="inlineStr">
        <is>
          <t>893406871</t>
        </is>
      </c>
    </row>
    <row r="154">
      <c r="A154" t="inlineStr">
        <is>
          <t>No</t>
        </is>
      </c>
      <c r="B154" t="inlineStr">
        <is>
          <t>CURAL</t>
        </is>
      </c>
      <c r="C154" t="inlineStr">
        <is>
          <t>SHELVES</t>
        </is>
      </c>
      <c r="D154" t="inlineStr">
        <is>
          <t>BL263 .L34 1931</t>
        </is>
      </c>
      <c r="E154" t="inlineStr">
        <is>
          <t>0                      BL 0263000L  34          1931</t>
        </is>
      </c>
      <c r="F154" t="inlineStr">
        <is>
          <t>Human evolution and science / by Francis P. Le Buffe.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LeBuffe, Francis P. (Francis Peter), 1885-1954.</t>
        </is>
      </c>
      <c r="N154" t="inlineStr">
        <is>
          <t>New York, N.Y. : The America Press, [c1931]</t>
        </is>
      </c>
      <c r="O154" t="inlineStr">
        <is>
          <t>1931</t>
        </is>
      </c>
      <c r="P154" t="inlineStr">
        <is>
          <t>7th ed., completely rev.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BL </t>
        </is>
      </c>
      <c r="U154" t="n">
        <v>2</v>
      </c>
      <c r="V154" t="n">
        <v>2</v>
      </c>
      <c r="W154" t="inlineStr">
        <is>
          <t>1994-02-23</t>
        </is>
      </c>
      <c r="X154" t="inlineStr">
        <is>
          <t>1994-02-23</t>
        </is>
      </c>
      <c r="Y154" t="inlineStr">
        <is>
          <t>1991-01-15</t>
        </is>
      </c>
      <c r="Z154" t="inlineStr">
        <is>
          <t>1991-01-15</t>
        </is>
      </c>
      <c r="AA154" t="n">
        <v>11</v>
      </c>
      <c r="AB154" t="n">
        <v>9</v>
      </c>
      <c r="AC154" t="n">
        <v>15</v>
      </c>
      <c r="AD154" t="n">
        <v>1</v>
      </c>
      <c r="AE154" t="n">
        <v>1</v>
      </c>
      <c r="AF154" t="n">
        <v>3</v>
      </c>
      <c r="AG154" t="n">
        <v>4</v>
      </c>
      <c r="AH154" t="n">
        <v>1</v>
      </c>
      <c r="AI154" t="n">
        <v>1</v>
      </c>
      <c r="AJ154" t="n">
        <v>0</v>
      </c>
      <c r="AK154" t="n">
        <v>0</v>
      </c>
      <c r="AL154" t="n">
        <v>3</v>
      </c>
      <c r="AM154" t="n">
        <v>4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HYPERLINK("https://creighton-primo.hosted.exlibrisgroup.com/primo-explore/search?tab=default_tab&amp;search_scope=EVERYTHING&amp;vid=01CRU&amp;lang=en_US&amp;offset=0&amp;query=any,contains,991001465099702656","Catalog Record")</f>
        <v/>
      </c>
      <c r="AV154">
        <f>HYPERLINK("http://www.worldcat.org/oclc/19503075","WorldCat Record")</f>
        <v/>
      </c>
      <c r="AW154" t="inlineStr">
        <is>
          <t>3884146:eng</t>
        </is>
      </c>
      <c r="AX154" t="inlineStr">
        <is>
          <t>19503075</t>
        </is>
      </c>
      <c r="AY154" t="inlineStr">
        <is>
          <t>991001465099702656</t>
        </is>
      </c>
      <c r="AZ154" t="inlineStr">
        <is>
          <t>991001465099702656</t>
        </is>
      </c>
      <c r="BA154" t="inlineStr">
        <is>
          <t>2254804030002656</t>
        </is>
      </c>
      <c r="BB154" t="inlineStr">
        <is>
          <t>BOOK</t>
        </is>
      </c>
      <c r="BE154" t="inlineStr">
        <is>
          <t>32285000428754</t>
        </is>
      </c>
      <c r="BF154" t="inlineStr">
        <is>
          <t>893590391</t>
        </is>
      </c>
    </row>
    <row r="155">
      <c r="A155" t="inlineStr">
        <is>
          <t>No</t>
        </is>
      </c>
      <c r="B155" t="inlineStr">
        <is>
          <t>CURAL</t>
        </is>
      </c>
      <c r="C155" t="inlineStr">
        <is>
          <t>SHELVES</t>
        </is>
      </c>
      <c r="D155" t="inlineStr">
        <is>
          <t>BL263 .M5 1876</t>
        </is>
      </c>
      <c r="E155" t="inlineStr">
        <is>
          <t>0                      BL 0263000M  5           1876</t>
        </is>
      </c>
      <c r="F155" t="inlineStr">
        <is>
          <t>Contemporary evolution : an essay on some recent social changes / by St. George Mivart.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Mivart, St. George Jackson, 1827-1900.</t>
        </is>
      </c>
      <c r="N155" t="inlineStr">
        <is>
          <t>New York : D. Appleton and company, 1876.</t>
        </is>
      </c>
      <c r="O155" t="inlineStr">
        <is>
          <t>1876</t>
        </is>
      </c>
      <c r="Q155" t="inlineStr">
        <is>
          <t>eng</t>
        </is>
      </c>
      <c r="R155" t="inlineStr">
        <is>
          <t xml:space="preserve">xx </t>
        </is>
      </c>
      <c r="T155" t="inlineStr">
        <is>
          <t xml:space="preserve">BL </t>
        </is>
      </c>
      <c r="U155" t="n">
        <v>2</v>
      </c>
      <c r="V155" t="n">
        <v>2</v>
      </c>
      <c r="W155" t="inlineStr">
        <is>
          <t>1996-09-28</t>
        </is>
      </c>
      <c r="X155" t="inlineStr">
        <is>
          <t>1996-09-28</t>
        </is>
      </c>
      <c r="Y155" t="inlineStr">
        <is>
          <t>1990-10-05</t>
        </is>
      </c>
      <c r="Z155" t="inlineStr">
        <is>
          <t>1990-10-05</t>
        </is>
      </c>
      <c r="AA155" t="n">
        <v>91</v>
      </c>
      <c r="AB155" t="n">
        <v>79</v>
      </c>
      <c r="AC155" t="n">
        <v>148</v>
      </c>
      <c r="AD155" t="n">
        <v>1</v>
      </c>
      <c r="AE155" t="n">
        <v>2</v>
      </c>
      <c r="AF155" t="n">
        <v>7</v>
      </c>
      <c r="AG155" t="n">
        <v>13</v>
      </c>
      <c r="AH155" t="n">
        <v>2</v>
      </c>
      <c r="AI155" t="n">
        <v>2</v>
      </c>
      <c r="AJ155" t="n">
        <v>1</v>
      </c>
      <c r="AK155" t="n">
        <v>5</v>
      </c>
      <c r="AL155" t="n">
        <v>5</v>
      </c>
      <c r="AM155" t="n">
        <v>8</v>
      </c>
      <c r="AN155" t="n">
        <v>0</v>
      </c>
      <c r="AO155" t="n">
        <v>1</v>
      </c>
      <c r="AP155" t="n">
        <v>0</v>
      </c>
      <c r="AQ155" t="n">
        <v>0</v>
      </c>
      <c r="AR155" t="inlineStr">
        <is>
          <t>Yes</t>
        </is>
      </c>
      <c r="AS155" t="inlineStr">
        <is>
          <t>No</t>
        </is>
      </c>
      <c r="AT155">
        <f>HYPERLINK("http://catalog.hathitrust.org/Record/008676067","HathiTrust Record")</f>
        <v/>
      </c>
      <c r="AU155">
        <f>HYPERLINK("https://creighton-primo.hosted.exlibrisgroup.com/primo-explore/search?tab=default_tab&amp;search_scope=EVERYTHING&amp;vid=01CRU&amp;lang=en_US&amp;offset=0&amp;query=any,contains,991004494239702656","Catalog Record")</f>
        <v/>
      </c>
      <c r="AV155">
        <f>HYPERLINK("http://www.worldcat.org/oclc/3684047","WorldCat Record")</f>
        <v/>
      </c>
      <c r="AW155" t="inlineStr">
        <is>
          <t>5037143:eng</t>
        </is>
      </c>
      <c r="AX155" t="inlineStr">
        <is>
          <t>3684047</t>
        </is>
      </c>
      <c r="AY155" t="inlineStr">
        <is>
          <t>991004494239702656</t>
        </is>
      </c>
      <c r="AZ155" t="inlineStr">
        <is>
          <t>991004494239702656</t>
        </is>
      </c>
      <c r="BA155" t="inlineStr">
        <is>
          <t>2261358920002656</t>
        </is>
      </c>
      <c r="BB155" t="inlineStr">
        <is>
          <t>BOOK</t>
        </is>
      </c>
      <c r="BE155" t="inlineStr">
        <is>
          <t>32285000334176</t>
        </is>
      </c>
      <c r="BF155" t="inlineStr">
        <is>
          <t>893794916</t>
        </is>
      </c>
    </row>
    <row r="156">
      <c r="A156" t="inlineStr">
        <is>
          <t>No</t>
        </is>
      </c>
      <c r="B156" t="inlineStr">
        <is>
          <t>CURAL</t>
        </is>
      </c>
      <c r="C156" t="inlineStr">
        <is>
          <t>SHELVES</t>
        </is>
      </c>
      <c r="D156" t="inlineStr">
        <is>
          <t>BL265.I54 D38 1998</t>
        </is>
      </c>
      <c r="E156" t="inlineStr">
        <is>
          <t>0                      BL 0265000I  54                 D  38          1998</t>
        </is>
      </c>
      <c r="F156" t="inlineStr">
        <is>
          <t>Techgnosis : myth, magic + mysticism in the age of information / Erik Davis.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Davis, Erik.</t>
        </is>
      </c>
      <c r="N156" t="inlineStr">
        <is>
          <t>New York : Harmony Books, c1998.</t>
        </is>
      </c>
      <c r="O156" t="inlineStr">
        <is>
          <t>1998</t>
        </is>
      </c>
      <c r="P156" t="inlineStr">
        <is>
          <t>1st ed.</t>
        </is>
      </c>
      <c r="Q156" t="inlineStr">
        <is>
          <t>eng</t>
        </is>
      </c>
      <c r="R156" t="inlineStr">
        <is>
          <t>nyu</t>
        </is>
      </c>
      <c r="T156" t="inlineStr">
        <is>
          <t xml:space="preserve">BL </t>
        </is>
      </c>
      <c r="U156" t="n">
        <v>2</v>
      </c>
      <c r="V156" t="n">
        <v>2</v>
      </c>
      <c r="W156" t="inlineStr">
        <is>
          <t>2005-03-01</t>
        </is>
      </c>
      <c r="X156" t="inlineStr">
        <is>
          <t>2005-03-01</t>
        </is>
      </c>
      <c r="Y156" t="inlineStr">
        <is>
          <t>1999-08-10</t>
        </is>
      </c>
      <c r="Z156" t="inlineStr">
        <is>
          <t>1999-08-10</t>
        </is>
      </c>
      <c r="AA156" t="n">
        <v>228</v>
      </c>
      <c r="AB156" t="n">
        <v>200</v>
      </c>
      <c r="AC156" t="n">
        <v>205</v>
      </c>
      <c r="AD156" t="n">
        <v>2</v>
      </c>
      <c r="AE156" t="n">
        <v>2</v>
      </c>
      <c r="AF156" t="n">
        <v>6</v>
      </c>
      <c r="AG156" t="n">
        <v>6</v>
      </c>
      <c r="AH156" t="n">
        <v>1</v>
      </c>
      <c r="AI156" t="n">
        <v>1</v>
      </c>
      <c r="AJ156" t="n">
        <v>1</v>
      </c>
      <c r="AK156" t="n">
        <v>1</v>
      </c>
      <c r="AL156" t="n">
        <v>5</v>
      </c>
      <c r="AM156" t="n">
        <v>5</v>
      </c>
      <c r="AN156" t="n">
        <v>1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HYPERLINK("https://creighton-primo.hosted.exlibrisgroup.com/primo-explore/search?tab=default_tab&amp;search_scope=EVERYTHING&amp;vid=01CRU&amp;lang=en_US&amp;offset=0&amp;query=any,contains,991002934019702656","Catalog Record")</f>
        <v/>
      </c>
      <c r="AV156">
        <f>HYPERLINK("http://www.worldcat.org/oclc/39024658","WorldCat Record")</f>
        <v/>
      </c>
      <c r="AW156" t="inlineStr">
        <is>
          <t>4495070036:eng</t>
        </is>
      </c>
      <c r="AX156" t="inlineStr">
        <is>
          <t>39024658</t>
        </is>
      </c>
      <c r="AY156" t="inlineStr">
        <is>
          <t>991002934019702656</t>
        </is>
      </c>
      <c r="AZ156" t="inlineStr">
        <is>
          <t>991002934019702656</t>
        </is>
      </c>
      <c r="BA156" t="inlineStr">
        <is>
          <t>2265456140002656</t>
        </is>
      </c>
      <c r="BB156" t="inlineStr">
        <is>
          <t>BOOK</t>
        </is>
      </c>
      <c r="BD156" t="inlineStr">
        <is>
          <t>9780517704158</t>
        </is>
      </c>
      <c r="BE156" t="inlineStr">
        <is>
          <t>32285003581021</t>
        </is>
      </c>
      <c r="BF156" t="inlineStr">
        <is>
          <t>893904159</t>
        </is>
      </c>
    </row>
    <row r="157">
      <c r="A157" t="inlineStr">
        <is>
          <t>No</t>
        </is>
      </c>
      <c r="B157" t="inlineStr">
        <is>
          <t>CURAL</t>
        </is>
      </c>
      <c r="C157" t="inlineStr">
        <is>
          <t>SHELVES</t>
        </is>
      </c>
      <c r="D157" t="inlineStr">
        <is>
          <t>BL265.P4 O95 1983</t>
        </is>
      </c>
      <c r="E157" t="inlineStr">
        <is>
          <t>0                      BL 0265000P  4                  O  95          1983</t>
        </is>
      </c>
      <c r="F157" t="inlineStr">
        <is>
          <t>And the trees clap their hands : faith, perception, and the new physics / Virginia Stem Owens.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Owens, Virginia Stem.</t>
        </is>
      </c>
      <c r="N157" t="inlineStr">
        <is>
          <t>Grand Rapids, Mich. : W.B. Eerdmans Pub. Co., c1983.</t>
        </is>
      </c>
      <c r="O157" t="inlineStr">
        <is>
          <t>1983</t>
        </is>
      </c>
      <c r="Q157" t="inlineStr">
        <is>
          <t>eng</t>
        </is>
      </c>
      <c r="R157" t="inlineStr">
        <is>
          <t>miu</t>
        </is>
      </c>
      <c r="T157" t="inlineStr">
        <is>
          <t xml:space="preserve">BL </t>
        </is>
      </c>
      <c r="U157" t="n">
        <v>0</v>
      </c>
      <c r="V157" t="n">
        <v>0</v>
      </c>
      <c r="W157" t="inlineStr">
        <is>
          <t>2006-04-12</t>
        </is>
      </c>
      <c r="X157" t="inlineStr">
        <is>
          <t>2006-04-12</t>
        </is>
      </c>
      <c r="Y157" t="inlineStr">
        <is>
          <t>1990-10-05</t>
        </is>
      </c>
      <c r="Z157" t="inlineStr">
        <is>
          <t>1990-10-05</t>
        </is>
      </c>
      <c r="AA157" t="n">
        <v>235</v>
      </c>
      <c r="AB157" t="n">
        <v>198</v>
      </c>
      <c r="AC157" t="n">
        <v>207</v>
      </c>
      <c r="AD157" t="n">
        <v>1</v>
      </c>
      <c r="AE157" t="n">
        <v>2</v>
      </c>
      <c r="AF157" t="n">
        <v>5</v>
      </c>
      <c r="AG157" t="n">
        <v>7</v>
      </c>
      <c r="AH157" t="n">
        <v>2</v>
      </c>
      <c r="AI157" t="n">
        <v>3</v>
      </c>
      <c r="AJ157" t="n">
        <v>1</v>
      </c>
      <c r="AK157" t="n">
        <v>2</v>
      </c>
      <c r="AL157" t="n">
        <v>4</v>
      </c>
      <c r="AM157" t="n">
        <v>4</v>
      </c>
      <c r="AN157" t="n">
        <v>0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HYPERLINK("http://catalog.hathitrust.org/Record/102076180","HathiTrust Record")</f>
        <v/>
      </c>
      <c r="AU157">
        <f>HYPERLINK("https://creighton-primo.hosted.exlibrisgroup.com/primo-explore/search?tab=default_tab&amp;search_scope=EVERYTHING&amp;vid=01CRU&amp;lang=en_US&amp;offset=0&amp;query=any,contains,991000122849702656","Catalog Record")</f>
        <v/>
      </c>
      <c r="AV157">
        <f>HYPERLINK("http://www.worldcat.org/oclc/9080984","WorldCat Record")</f>
        <v/>
      </c>
      <c r="AW157" t="inlineStr">
        <is>
          <t>6796299:eng</t>
        </is>
      </c>
      <c r="AX157" t="inlineStr">
        <is>
          <t>9080984</t>
        </is>
      </c>
      <c r="AY157" t="inlineStr">
        <is>
          <t>991000122849702656</t>
        </is>
      </c>
      <c r="AZ157" t="inlineStr">
        <is>
          <t>991000122849702656</t>
        </is>
      </c>
      <c r="BA157" t="inlineStr">
        <is>
          <t>2255476950002656</t>
        </is>
      </c>
      <c r="BB157" t="inlineStr">
        <is>
          <t>BOOK</t>
        </is>
      </c>
      <c r="BD157" t="inlineStr">
        <is>
          <t>9780802819499</t>
        </is>
      </c>
      <c r="BE157" t="inlineStr">
        <is>
          <t>32285000334184</t>
        </is>
      </c>
      <c r="BF157" t="inlineStr">
        <is>
          <t>893333231</t>
        </is>
      </c>
    </row>
    <row r="158">
      <c r="A158" t="inlineStr">
        <is>
          <t>No</t>
        </is>
      </c>
      <c r="B158" t="inlineStr">
        <is>
          <t>CURAL</t>
        </is>
      </c>
      <c r="C158" t="inlineStr">
        <is>
          <t>SHELVES</t>
        </is>
      </c>
      <c r="D158" t="inlineStr">
        <is>
          <t>BL265.T4 C6 1978</t>
        </is>
      </c>
      <c r="E158" t="inlineStr">
        <is>
          <t>0                      BL 0265000T  4                  C  6           1978</t>
        </is>
      </c>
      <c r="F158" t="inlineStr">
        <is>
          <t>Science, technology, and the Christian / by C. A. Coulson. --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Coulson, C. A. (Charles Alfred), 1910-1974.</t>
        </is>
      </c>
      <c r="N158" t="inlineStr">
        <is>
          <t>Westport, Conn. : Greenwood Press, [1978] c1960.</t>
        </is>
      </c>
      <c r="O158" t="inlineStr">
        <is>
          <t>1978</t>
        </is>
      </c>
      <c r="Q158" t="inlineStr">
        <is>
          <t>eng</t>
        </is>
      </c>
      <c r="R158" t="inlineStr">
        <is>
          <t>ctu</t>
        </is>
      </c>
      <c r="T158" t="inlineStr">
        <is>
          <t xml:space="preserve">BL </t>
        </is>
      </c>
      <c r="U158" t="n">
        <v>1</v>
      </c>
      <c r="V158" t="n">
        <v>1</v>
      </c>
      <c r="W158" t="inlineStr">
        <is>
          <t>1994-03-02</t>
        </is>
      </c>
      <c r="X158" t="inlineStr">
        <is>
          <t>1994-03-02</t>
        </is>
      </c>
      <c r="Y158" t="inlineStr">
        <is>
          <t>1990-10-05</t>
        </is>
      </c>
      <c r="Z158" t="inlineStr">
        <is>
          <t>1990-10-05</t>
        </is>
      </c>
      <c r="AA158" t="n">
        <v>74</v>
      </c>
      <c r="AB158" t="n">
        <v>64</v>
      </c>
      <c r="AC158" t="n">
        <v>484</v>
      </c>
      <c r="AD158" t="n">
        <v>2</v>
      </c>
      <c r="AE158" t="n">
        <v>3</v>
      </c>
      <c r="AF158" t="n">
        <v>6</v>
      </c>
      <c r="AG158" t="n">
        <v>19</v>
      </c>
      <c r="AH158" t="n">
        <v>1</v>
      </c>
      <c r="AI158" t="n">
        <v>7</v>
      </c>
      <c r="AJ158" t="n">
        <v>3</v>
      </c>
      <c r="AK158" t="n">
        <v>4</v>
      </c>
      <c r="AL158" t="n">
        <v>3</v>
      </c>
      <c r="AM158" t="n">
        <v>8</v>
      </c>
      <c r="AN158" t="n">
        <v>1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HYPERLINK("https://creighton-primo.hosted.exlibrisgroup.com/primo-explore/search?tab=default_tab&amp;search_scope=EVERYTHING&amp;vid=01CRU&amp;lang=en_US&amp;offset=0&amp;query=any,contains,991004573449702656","Catalog Record")</f>
        <v/>
      </c>
      <c r="AV158">
        <f>HYPERLINK("http://www.worldcat.org/oclc/4036791","WorldCat Record")</f>
        <v/>
      </c>
      <c r="AW158" t="inlineStr">
        <is>
          <t>1379664:eng</t>
        </is>
      </c>
      <c r="AX158" t="inlineStr">
        <is>
          <t>4036791</t>
        </is>
      </c>
      <c r="AY158" t="inlineStr">
        <is>
          <t>991004573449702656</t>
        </is>
      </c>
      <c r="AZ158" t="inlineStr">
        <is>
          <t>991004573449702656</t>
        </is>
      </c>
      <c r="BA158" t="inlineStr">
        <is>
          <t>2269098960002656</t>
        </is>
      </c>
      <c r="BB158" t="inlineStr">
        <is>
          <t>BOOK</t>
        </is>
      </c>
      <c r="BD158" t="inlineStr">
        <is>
          <t>9780837190419</t>
        </is>
      </c>
      <c r="BE158" t="inlineStr">
        <is>
          <t>32285000334192</t>
        </is>
      </c>
      <c r="BF158" t="inlineStr">
        <is>
          <t>893331787</t>
        </is>
      </c>
    </row>
    <row r="159">
      <c r="A159" t="inlineStr">
        <is>
          <t>No</t>
        </is>
      </c>
      <c r="B159" t="inlineStr">
        <is>
          <t>CURAL</t>
        </is>
      </c>
      <c r="C159" t="inlineStr">
        <is>
          <t>SHELVES</t>
        </is>
      </c>
      <c r="D159" t="inlineStr">
        <is>
          <t>BL27 .W26</t>
        </is>
      </c>
      <c r="E159" t="inlineStr">
        <is>
          <t>0                      BL 0027000W  26</t>
        </is>
      </c>
      <c r="F159" t="inlineStr">
        <is>
          <t>Understanding and believing : essays / by Joachim Wach ; edited with an introduction by Joseph M. Kitagawa.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M159" t="inlineStr">
        <is>
          <t>Wach, Joachim, 1898-1955.</t>
        </is>
      </c>
      <c r="N159" t="inlineStr">
        <is>
          <t>New York : Harper &amp; Row, [1968]</t>
        </is>
      </c>
      <c r="O159" t="inlineStr">
        <is>
          <t>1968</t>
        </is>
      </c>
      <c r="P159" t="inlineStr">
        <is>
          <t>[1st ed.]</t>
        </is>
      </c>
      <c r="Q159" t="inlineStr">
        <is>
          <t>eng</t>
        </is>
      </c>
      <c r="R159" t="inlineStr">
        <is>
          <t>nyu</t>
        </is>
      </c>
      <c r="S159" t="inlineStr">
        <is>
          <t>Harper torchbooks ; TB1399</t>
        </is>
      </c>
      <c r="T159" t="inlineStr">
        <is>
          <t xml:space="preserve">BL </t>
        </is>
      </c>
      <c r="U159" t="n">
        <v>2</v>
      </c>
      <c r="V159" t="n">
        <v>2</v>
      </c>
      <c r="W159" t="inlineStr">
        <is>
          <t>2006-12-10</t>
        </is>
      </c>
      <c r="X159" t="inlineStr">
        <is>
          <t>2006-12-10</t>
        </is>
      </c>
      <c r="Y159" t="inlineStr">
        <is>
          <t>1990-05-24</t>
        </is>
      </c>
      <c r="Z159" t="inlineStr">
        <is>
          <t>1990-05-24</t>
        </is>
      </c>
      <c r="AA159" t="n">
        <v>230</v>
      </c>
      <c r="AB159" t="n">
        <v>205</v>
      </c>
      <c r="AC159" t="n">
        <v>317</v>
      </c>
      <c r="AD159" t="n">
        <v>3</v>
      </c>
      <c r="AE159" t="n">
        <v>3</v>
      </c>
      <c r="AF159" t="n">
        <v>20</v>
      </c>
      <c r="AG159" t="n">
        <v>27</v>
      </c>
      <c r="AH159" t="n">
        <v>6</v>
      </c>
      <c r="AI159" t="n">
        <v>10</v>
      </c>
      <c r="AJ159" t="n">
        <v>2</v>
      </c>
      <c r="AK159" t="n">
        <v>5</v>
      </c>
      <c r="AL159" t="n">
        <v>14</v>
      </c>
      <c r="AM159" t="n">
        <v>19</v>
      </c>
      <c r="AN159" t="n">
        <v>2</v>
      </c>
      <c r="AO159" t="n">
        <v>2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HYPERLINK("https://creighton-primo.hosted.exlibrisgroup.com/primo-explore/search?tab=default_tab&amp;search_scope=EVERYTHING&amp;vid=01CRU&amp;lang=en_US&amp;offset=0&amp;query=any,contains,991002805979702656","Catalog Record")</f>
        <v/>
      </c>
      <c r="AV159">
        <f>HYPERLINK("http://www.worldcat.org/oclc/449551","WorldCat Record")</f>
        <v/>
      </c>
      <c r="AW159" t="inlineStr">
        <is>
          <t>2726418:eng</t>
        </is>
      </c>
      <c r="AX159" t="inlineStr">
        <is>
          <t>449551</t>
        </is>
      </c>
      <c r="AY159" t="inlineStr">
        <is>
          <t>991002805979702656</t>
        </is>
      </c>
      <c r="AZ159" t="inlineStr">
        <is>
          <t>991002805979702656</t>
        </is>
      </c>
      <c r="BA159" t="inlineStr">
        <is>
          <t>2265476920002656</t>
        </is>
      </c>
      <c r="BB159" t="inlineStr">
        <is>
          <t>BOOK</t>
        </is>
      </c>
      <c r="BE159" t="inlineStr">
        <is>
          <t>32285000166073</t>
        </is>
      </c>
      <c r="BF159" t="inlineStr">
        <is>
          <t>893341875</t>
        </is>
      </c>
    </row>
    <row r="160">
      <c r="A160" t="inlineStr">
        <is>
          <t>No</t>
        </is>
      </c>
      <c r="B160" t="inlineStr">
        <is>
          <t>CURAL</t>
        </is>
      </c>
      <c r="C160" t="inlineStr">
        <is>
          <t>SHELVES</t>
        </is>
      </c>
      <c r="D160" t="inlineStr">
        <is>
          <t>BL2747 .C3 1972</t>
        </is>
      </c>
      <c r="E160" t="inlineStr">
        <is>
          <t>0                      BL 2747000C  3           1972</t>
        </is>
      </c>
      <c r="F160" t="inlineStr">
        <is>
          <t>Toward a sociology of irreligion / Colin Campbell.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M160" t="inlineStr">
        <is>
          <t>Campbell, Colin, 1940-</t>
        </is>
      </c>
      <c r="N160" t="inlineStr">
        <is>
          <t>[New York] Herder &amp; Herder [1972]</t>
        </is>
      </c>
      <c r="O160" t="inlineStr">
        <is>
          <t>1972</t>
        </is>
      </c>
      <c r="Q160" t="inlineStr">
        <is>
          <t>eng</t>
        </is>
      </c>
      <c r="R160" t="inlineStr">
        <is>
          <t>___</t>
        </is>
      </c>
      <c r="S160" t="inlineStr">
        <is>
          <t>New perspectives in sociology</t>
        </is>
      </c>
      <c r="T160" t="inlineStr">
        <is>
          <t xml:space="preserve">BL </t>
        </is>
      </c>
      <c r="U160" t="n">
        <v>4</v>
      </c>
      <c r="V160" t="n">
        <v>4</v>
      </c>
      <c r="W160" t="inlineStr">
        <is>
          <t>1998-12-08</t>
        </is>
      </c>
      <c r="X160" t="inlineStr">
        <is>
          <t>1998-12-08</t>
        </is>
      </c>
      <c r="Y160" t="inlineStr">
        <is>
          <t>1990-10-23</t>
        </is>
      </c>
      <c r="Z160" t="inlineStr">
        <is>
          <t>1990-10-23</t>
        </is>
      </c>
      <c r="AA160" t="n">
        <v>134</v>
      </c>
      <c r="AB160" t="n">
        <v>121</v>
      </c>
      <c r="AC160" t="n">
        <v>280</v>
      </c>
      <c r="AD160" t="n">
        <v>3</v>
      </c>
      <c r="AE160" t="n">
        <v>4</v>
      </c>
      <c r="AF160" t="n">
        <v>8</v>
      </c>
      <c r="AG160" t="n">
        <v>15</v>
      </c>
      <c r="AH160" t="n">
        <v>1</v>
      </c>
      <c r="AI160" t="n">
        <v>3</v>
      </c>
      <c r="AJ160" t="n">
        <v>1</v>
      </c>
      <c r="AK160" t="n">
        <v>3</v>
      </c>
      <c r="AL160" t="n">
        <v>7</v>
      </c>
      <c r="AM160" t="n">
        <v>13</v>
      </c>
      <c r="AN160" t="n">
        <v>1</v>
      </c>
      <c r="AO160" t="n">
        <v>2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HYPERLINK("https://creighton-primo.hosted.exlibrisgroup.com/primo-explore/search?tab=default_tab&amp;search_scope=EVERYTHING&amp;vid=01CRU&amp;lang=en_US&amp;offset=0&amp;query=any,contains,991003131879702656","Catalog Record")</f>
        <v/>
      </c>
      <c r="AV160">
        <f>HYPERLINK("http://www.worldcat.org/oclc/674940","WorldCat Record")</f>
        <v/>
      </c>
      <c r="AW160" t="inlineStr">
        <is>
          <t>180407113:eng</t>
        </is>
      </c>
      <c r="AX160" t="inlineStr">
        <is>
          <t>674940</t>
        </is>
      </c>
      <c r="AY160" t="inlineStr">
        <is>
          <t>991003131879702656</t>
        </is>
      </c>
      <c r="AZ160" t="inlineStr">
        <is>
          <t>991003131879702656</t>
        </is>
      </c>
      <c r="BA160" t="inlineStr">
        <is>
          <t>2269535550002656</t>
        </is>
      </c>
      <c r="BB160" t="inlineStr">
        <is>
          <t>BOOK</t>
        </is>
      </c>
      <c r="BE160" t="inlineStr">
        <is>
          <t>32285000352855</t>
        </is>
      </c>
      <c r="BF160" t="inlineStr">
        <is>
          <t>893258090</t>
        </is>
      </c>
    </row>
    <row r="161">
      <c r="A161" t="inlineStr">
        <is>
          <t>No</t>
        </is>
      </c>
      <c r="B161" t="inlineStr">
        <is>
          <t>CURAL</t>
        </is>
      </c>
      <c r="C161" t="inlineStr">
        <is>
          <t>SHELVES</t>
        </is>
      </c>
      <c r="D161" t="inlineStr">
        <is>
          <t>BL2747 .H33 1980</t>
        </is>
      </c>
      <c r="E161" t="inlineStr">
        <is>
          <t>0                      BL 2747000H  33          1980</t>
        </is>
      </c>
      <c r="F161" t="inlineStr">
        <is>
          <t>The unchurched : who they are and why they stay away / J. Russell Hale.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M161" t="inlineStr">
        <is>
          <t>Hale, J. Russell (James Russell)</t>
        </is>
      </c>
      <c r="N161" t="inlineStr">
        <is>
          <t>San Francisco : Harper &amp; Row, c1980.</t>
        </is>
      </c>
      <c r="O161" t="inlineStr">
        <is>
          <t>1980</t>
        </is>
      </c>
      <c r="P161" t="inlineStr">
        <is>
          <t>1st ed.</t>
        </is>
      </c>
      <c r="Q161" t="inlineStr">
        <is>
          <t>eng</t>
        </is>
      </c>
      <c r="R161" t="inlineStr">
        <is>
          <t>cau</t>
        </is>
      </c>
      <c r="T161" t="inlineStr">
        <is>
          <t xml:space="preserve">BL </t>
        </is>
      </c>
      <c r="U161" t="n">
        <v>4</v>
      </c>
      <c r="V161" t="n">
        <v>4</v>
      </c>
      <c r="W161" t="inlineStr">
        <is>
          <t>1997-04-09</t>
        </is>
      </c>
      <c r="X161" t="inlineStr">
        <is>
          <t>1997-04-09</t>
        </is>
      </c>
      <c r="Y161" t="inlineStr">
        <is>
          <t>1990-10-23</t>
        </is>
      </c>
      <c r="Z161" t="inlineStr">
        <is>
          <t>1990-10-23</t>
        </is>
      </c>
      <c r="AA161" t="n">
        <v>411</v>
      </c>
      <c r="AB161" t="n">
        <v>371</v>
      </c>
      <c r="AC161" t="n">
        <v>371</v>
      </c>
      <c r="AD161" t="n">
        <v>5</v>
      </c>
      <c r="AE161" t="n">
        <v>5</v>
      </c>
      <c r="AF161" t="n">
        <v>19</v>
      </c>
      <c r="AG161" t="n">
        <v>19</v>
      </c>
      <c r="AH161" t="n">
        <v>7</v>
      </c>
      <c r="AI161" t="n">
        <v>7</v>
      </c>
      <c r="AJ161" t="n">
        <v>6</v>
      </c>
      <c r="AK161" t="n">
        <v>6</v>
      </c>
      <c r="AL161" t="n">
        <v>10</v>
      </c>
      <c r="AM161" t="n">
        <v>10</v>
      </c>
      <c r="AN161" t="n">
        <v>2</v>
      </c>
      <c r="AO161" t="n">
        <v>2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HYPERLINK("https://creighton-primo.hosted.exlibrisgroup.com/primo-explore/search?tab=default_tab&amp;search_scope=EVERYTHING&amp;vid=01CRU&amp;lang=en_US&amp;offset=0&amp;query=any,contains,991004953809702656","Catalog Record")</f>
        <v/>
      </c>
      <c r="AV161">
        <f>HYPERLINK("http://www.worldcat.org/oclc/6264978","WorldCat Record")</f>
        <v/>
      </c>
      <c r="AW161" t="inlineStr">
        <is>
          <t>285312977:eng</t>
        </is>
      </c>
      <c r="AX161" t="inlineStr">
        <is>
          <t>6264978</t>
        </is>
      </c>
      <c r="AY161" t="inlineStr">
        <is>
          <t>991004953809702656</t>
        </is>
      </c>
      <c r="AZ161" t="inlineStr">
        <is>
          <t>991004953809702656</t>
        </is>
      </c>
      <c r="BA161" t="inlineStr">
        <is>
          <t>2266129030002656</t>
        </is>
      </c>
      <c r="BB161" t="inlineStr">
        <is>
          <t>BOOK</t>
        </is>
      </c>
      <c r="BD161" t="inlineStr">
        <is>
          <t>9780060635602</t>
        </is>
      </c>
      <c r="BE161" t="inlineStr">
        <is>
          <t>32285000352863</t>
        </is>
      </c>
      <c r="BF161" t="inlineStr">
        <is>
          <t>893332213</t>
        </is>
      </c>
    </row>
    <row r="162">
      <c r="A162" t="inlineStr">
        <is>
          <t>No</t>
        </is>
      </c>
      <c r="B162" t="inlineStr">
        <is>
          <t>CURAL</t>
        </is>
      </c>
      <c r="C162" t="inlineStr">
        <is>
          <t>SHELVES</t>
        </is>
      </c>
      <c r="D162" t="inlineStr">
        <is>
          <t>BL2747 .M3</t>
        </is>
      </c>
      <c r="E162" t="inlineStr">
        <is>
          <t>0                      BL 2747000M  3</t>
        </is>
      </c>
      <c r="F162" t="inlineStr">
        <is>
          <t>Varieties of unbelief.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Marty, Martin E., 1928-</t>
        </is>
      </c>
      <c r="N162" t="inlineStr">
        <is>
          <t>New York, Holt, Rinehart and Winston [1964]</t>
        </is>
      </c>
      <c r="O162" t="inlineStr">
        <is>
          <t>1964</t>
        </is>
      </c>
      <c r="P162" t="inlineStr">
        <is>
          <t>[1st ed.]</t>
        </is>
      </c>
      <c r="Q162" t="inlineStr">
        <is>
          <t>eng</t>
        </is>
      </c>
      <c r="R162" t="inlineStr">
        <is>
          <t>___</t>
        </is>
      </c>
      <c r="T162" t="inlineStr">
        <is>
          <t xml:space="preserve">BL </t>
        </is>
      </c>
      <c r="U162" t="n">
        <v>8</v>
      </c>
      <c r="V162" t="n">
        <v>8</v>
      </c>
      <c r="W162" t="inlineStr">
        <is>
          <t>2008-02-03</t>
        </is>
      </c>
      <c r="X162" t="inlineStr">
        <is>
          <t>2008-02-03</t>
        </is>
      </c>
      <c r="Y162" t="inlineStr">
        <is>
          <t>1990-10-23</t>
        </is>
      </c>
      <c r="Z162" t="inlineStr">
        <is>
          <t>1990-10-23</t>
        </is>
      </c>
      <c r="AA162" t="n">
        <v>873</v>
      </c>
      <c r="AB162" t="n">
        <v>803</v>
      </c>
      <c r="AC162" t="n">
        <v>962</v>
      </c>
      <c r="AD162" t="n">
        <v>4</v>
      </c>
      <c r="AE162" t="n">
        <v>7</v>
      </c>
      <c r="AF162" t="n">
        <v>39</v>
      </c>
      <c r="AG162" t="n">
        <v>43</v>
      </c>
      <c r="AH162" t="n">
        <v>16</v>
      </c>
      <c r="AI162" t="n">
        <v>17</v>
      </c>
      <c r="AJ162" t="n">
        <v>7</v>
      </c>
      <c r="AK162" t="n">
        <v>8</v>
      </c>
      <c r="AL162" t="n">
        <v>24</v>
      </c>
      <c r="AM162" t="n">
        <v>26</v>
      </c>
      <c r="AN162" t="n">
        <v>2</v>
      </c>
      <c r="AO162" t="n">
        <v>3</v>
      </c>
      <c r="AP162" t="n">
        <v>2</v>
      </c>
      <c r="AQ162" t="n">
        <v>2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HYPERLINK("http://catalog.hathitrust.org/Record/001401448","HathiTrust Record")</f>
        <v/>
      </c>
      <c r="AU162">
        <f>HYPERLINK("https://creighton-primo.hosted.exlibrisgroup.com/primo-explore/search?tab=default_tab&amp;search_scope=EVERYTHING&amp;vid=01CRU&amp;lang=en_US&amp;offset=0&amp;query=any,contains,991002577149702656","Catalog Record")</f>
        <v/>
      </c>
      <c r="AV162">
        <f>HYPERLINK("http://www.worldcat.org/oclc/374907","WorldCat Record")</f>
        <v/>
      </c>
      <c r="AW162" t="inlineStr">
        <is>
          <t>1393996:eng</t>
        </is>
      </c>
      <c r="AX162" t="inlineStr">
        <is>
          <t>374907</t>
        </is>
      </c>
      <c r="AY162" t="inlineStr">
        <is>
          <t>991002577149702656</t>
        </is>
      </c>
      <c r="AZ162" t="inlineStr">
        <is>
          <t>991002577149702656</t>
        </is>
      </c>
      <c r="BA162" t="inlineStr">
        <is>
          <t>2262230080002656</t>
        </is>
      </c>
      <c r="BB162" t="inlineStr">
        <is>
          <t>BOOK</t>
        </is>
      </c>
      <c r="BE162" t="inlineStr">
        <is>
          <t>32285000352871</t>
        </is>
      </c>
      <c r="BF162" t="inlineStr">
        <is>
          <t>893421551</t>
        </is>
      </c>
    </row>
    <row r="163">
      <c r="A163" t="inlineStr">
        <is>
          <t>No</t>
        </is>
      </c>
      <c r="B163" t="inlineStr">
        <is>
          <t>CURAL</t>
        </is>
      </c>
      <c r="C163" t="inlineStr">
        <is>
          <t>SHELVES</t>
        </is>
      </c>
      <c r="D163" t="inlineStr">
        <is>
          <t>BL2747.3 .L46</t>
        </is>
      </c>
      <c r="E163" t="inlineStr">
        <is>
          <t>0                      BL 2747300L  46</t>
        </is>
      </c>
      <c r="F163" t="inlineStr">
        <is>
          <t>Atheism in our time / Translated by Bernard Murchland.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Lepp, Ignace, 1909-1966.</t>
        </is>
      </c>
      <c r="N163" t="inlineStr">
        <is>
          <t>New York, Macmillan [c1963]</t>
        </is>
      </c>
      <c r="O163" t="inlineStr">
        <is>
          <t>1963</t>
        </is>
      </c>
      <c r="Q163" t="inlineStr">
        <is>
          <t>eng</t>
        </is>
      </c>
      <c r="R163" t="inlineStr">
        <is>
          <t>___</t>
        </is>
      </c>
      <c r="T163" t="inlineStr">
        <is>
          <t xml:space="preserve">BL </t>
        </is>
      </c>
      <c r="U163" t="n">
        <v>2</v>
      </c>
      <c r="V163" t="n">
        <v>2</v>
      </c>
      <c r="W163" t="inlineStr">
        <is>
          <t>2006-12-08</t>
        </is>
      </c>
      <c r="X163" t="inlineStr">
        <is>
          <t>2006-12-08</t>
        </is>
      </c>
      <c r="Y163" t="inlineStr">
        <is>
          <t>1990-10-23</t>
        </is>
      </c>
      <c r="Z163" t="inlineStr">
        <is>
          <t>1990-10-23</t>
        </is>
      </c>
      <c r="AA163" t="n">
        <v>600</v>
      </c>
      <c r="AB163" t="n">
        <v>568</v>
      </c>
      <c r="AC163" t="n">
        <v>698</v>
      </c>
      <c r="AD163" t="n">
        <v>6</v>
      </c>
      <c r="AE163" t="n">
        <v>8</v>
      </c>
      <c r="AF163" t="n">
        <v>34</v>
      </c>
      <c r="AG163" t="n">
        <v>42</v>
      </c>
      <c r="AH163" t="n">
        <v>12</v>
      </c>
      <c r="AI163" t="n">
        <v>14</v>
      </c>
      <c r="AJ163" t="n">
        <v>6</v>
      </c>
      <c r="AK163" t="n">
        <v>9</v>
      </c>
      <c r="AL163" t="n">
        <v>22</v>
      </c>
      <c r="AM163" t="n">
        <v>27</v>
      </c>
      <c r="AN163" t="n">
        <v>4</v>
      </c>
      <c r="AO163" t="n">
        <v>5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T163">
        <f>HYPERLINK("http://catalog.hathitrust.org/Record/007882531","HathiTrust Record")</f>
        <v/>
      </c>
      <c r="AU163">
        <f>HYPERLINK("https://creighton-primo.hosted.exlibrisgroup.com/primo-explore/search?tab=default_tab&amp;search_scope=EVERYTHING&amp;vid=01CRU&amp;lang=en_US&amp;offset=0&amp;query=any,contains,991002989279702656","Catalog Record")</f>
        <v/>
      </c>
      <c r="AV163">
        <f>HYPERLINK("http://www.worldcat.org/oclc/559621","WorldCat Record")</f>
        <v/>
      </c>
      <c r="AW163" t="inlineStr">
        <is>
          <t>1630208:eng</t>
        </is>
      </c>
      <c r="AX163" t="inlineStr">
        <is>
          <t>559621</t>
        </is>
      </c>
      <c r="AY163" t="inlineStr">
        <is>
          <t>991002989279702656</t>
        </is>
      </c>
      <c r="AZ163" t="inlineStr">
        <is>
          <t>991002989279702656</t>
        </is>
      </c>
      <c r="BA163" t="inlineStr">
        <is>
          <t>2262158280002656</t>
        </is>
      </c>
      <c r="BB163" t="inlineStr">
        <is>
          <t>BOOK</t>
        </is>
      </c>
      <c r="BE163" t="inlineStr">
        <is>
          <t>32285000352905</t>
        </is>
      </c>
      <c r="BF163" t="inlineStr">
        <is>
          <t>893329814</t>
        </is>
      </c>
    </row>
    <row r="164">
      <c r="A164" t="inlineStr">
        <is>
          <t>No</t>
        </is>
      </c>
      <c r="B164" t="inlineStr">
        <is>
          <t>CURAL</t>
        </is>
      </c>
      <c r="C164" t="inlineStr">
        <is>
          <t>SHELVES</t>
        </is>
      </c>
      <c r="D164" t="inlineStr">
        <is>
          <t>BL2747.3 .L66</t>
        </is>
      </c>
      <c r="E164" t="inlineStr">
        <is>
          <t>0                      BL 2747300L  66</t>
        </is>
      </c>
      <c r="F164" t="inlineStr">
        <is>
          <t>The menace of atheism / by William I. Lonergan.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Lonergan, William I.</t>
        </is>
      </c>
      <c r="N164" t="inlineStr">
        <is>
          <t>New York, N.Y. : America Press, [c1930]</t>
        </is>
      </c>
      <c r="O164" t="inlineStr">
        <is>
          <t>1930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BL </t>
        </is>
      </c>
      <c r="U164" t="n">
        <v>3</v>
      </c>
      <c r="V164" t="n">
        <v>3</v>
      </c>
      <c r="W164" t="inlineStr">
        <is>
          <t>1993-03-21</t>
        </is>
      </c>
      <c r="X164" t="inlineStr">
        <is>
          <t>1993-03-21</t>
        </is>
      </c>
      <c r="Y164" t="inlineStr">
        <is>
          <t>1990-10-23</t>
        </is>
      </c>
      <c r="Z164" t="inlineStr">
        <is>
          <t>1990-10-23</t>
        </is>
      </c>
      <c r="AA164" t="n">
        <v>16</v>
      </c>
      <c r="AB164" t="n">
        <v>16</v>
      </c>
      <c r="AC164" t="n">
        <v>22</v>
      </c>
      <c r="AD164" t="n">
        <v>1</v>
      </c>
      <c r="AE164" t="n">
        <v>1</v>
      </c>
      <c r="AF164" t="n">
        <v>4</v>
      </c>
      <c r="AG164" t="n">
        <v>4</v>
      </c>
      <c r="AH164" t="n">
        <v>0</v>
      </c>
      <c r="AI164" t="n">
        <v>0</v>
      </c>
      <c r="AJ164" t="n">
        <v>0</v>
      </c>
      <c r="AK164" t="n">
        <v>0</v>
      </c>
      <c r="AL164" t="n">
        <v>4</v>
      </c>
      <c r="AM164" t="n">
        <v>4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Yes</t>
        </is>
      </c>
      <c r="AS164" t="inlineStr">
        <is>
          <t>No</t>
        </is>
      </c>
      <c r="AT164">
        <f>HYPERLINK("http://catalog.hathitrust.org/Record/006530303","HathiTrust Record")</f>
        <v/>
      </c>
      <c r="AU164">
        <f>HYPERLINK("https://creighton-primo.hosted.exlibrisgroup.com/primo-explore/search?tab=default_tab&amp;search_scope=EVERYTHING&amp;vid=01CRU&amp;lang=en_US&amp;offset=0&amp;query=any,contains,991005073969702656","Catalog Record")</f>
        <v/>
      </c>
      <c r="AV164">
        <f>HYPERLINK("http://www.worldcat.org/oclc/7079694","WorldCat Record")</f>
        <v/>
      </c>
      <c r="AW164" t="inlineStr">
        <is>
          <t>24962648:eng</t>
        </is>
      </c>
      <c r="AX164" t="inlineStr">
        <is>
          <t>7079694</t>
        </is>
      </c>
      <c r="AY164" t="inlineStr">
        <is>
          <t>991005073969702656</t>
        </is>
      </c>
      <c r="AZ164" t="inlineStr">
        <is>
          <t>991005073969702656</t>
        </is>
      </c>
      <c r="BA164" t="inlineStr">
        <is>
          <t>2262743260002656</t>
        </is>
      </c>
      <c r="BB164" t="inlineStr">
        <is>
          <t>BOOK</t>
        </is>
      </c>
      <c r="BE164" t="inlineStr">
        <is>
          <t>32285000352913</t>
        </is>
      </c>
      <c r="BF164" t="inlineStr">
        <is>
          <t>893443358</t>
        </is>
      </c>
    </row>
    <row r="165">
      <c r="A165" t="inlineStr">
        <is>
          <t>No</t>
        </is>
      </c>
      <c r="B165" t="inlineStr">
        <is>
          <t>CURAL</t>
        </is>
      </c>
      <c r="C165" t="inlineStr">
        <is>
          <t>SHELVES</t>
        </is>
      </c>
      <c r="D165" t="inlineStr">
        <is>
          <t>BL2747.3 .L753</t>
        </is>
      </c>
      <c r="E165" t="inlineStr">
        <is>
          <t>0                      BL 2747300L  753</t>
        </is>
      </c>
      <c r="F165" t="inlineStr">
        <is>
          <t>Phenomenology and atheism, by William A. Luijpen. [Translated from the Dutch by Walter van de Putte]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M165" t="inlineStr">
        <is>
          <t>Luijpen, W. (Wilhelmus), 1922-</t>
        </is>
      </c>
      <c r="N165" t="inlineStr">
        <is>
          <t>Pittsburgh, Duquesne University Press, 1964.</t>
        </is>
      </c>
      <c r="O165" t="inlineStr">
        <is>
          <t>1964</t>
        </is>
      </c>
      <c r="Q165" t="inlineStr">
        <is>
          <t>eng</t>
        </is>
      </c>
      <c r="R165" t="inlineStr">
        <is>
          <t>___</t>
        </is>
      </c>
      <c r="S165" t="inlineStr">
        <is>
          <t>Duquesne studies. Philosophical series ; 17</t>
        </is>
      </c>
      <c r="T165" t="inlineStr">
        <is>
          <t xml:space="preserve">BL </t>
        </is>
      </c>
      <c r="U165" t="n">
        <v>2</v>
      </c>
      <c r="V165" t="n">
        <v>2</v>
      </c>
      <c r="W165" t="inlineStr">
        <is>
          <t>1993-04-10</t>
        </is>
      </c>
      <c r="X165" t="inlineStr">
        <is>
          <t>1993-04-10</t>
        </is>
      </c>
      <c r="Y165" t="inlineStr">
        <is>
          <t>1990-03-02</t>
        </is>
      </c>
      <c r="Z165" t="inlineStr">
        <is>
          <t>1990-03-02</t>
        </is>
      </c>
      <c r="AA165" t="n">
        <v>646</v>
      </c>
      <c r="AB165" t="n">
        <v>565</v>
      </c>
      <c r="AC165" t="n">
        <v>573</v>
      </c>
      <c r="AD165" t="n">
        <v>6</v>
      </c>
      <c r="AE165" t="n">
        <v>6</v>
      </c>
      <c r="AF165" t="n">
        <v>38</v>
      </c>
      <c r="AG165" t="n">
        <v>38</v>
      </c>
      <c r="AH165" t="n">
        <v>12</v>
      </c>
      <c r="AI165" t="n">
        <v>12</v>
      </c>
      <c r="AJ165" t="n">
        <v>9</v>
      </c>
      <c r="AK165" t="n">
        <v>9</v>
      </c>
      <c r="AL165" t="n">
        <v>25</v>
      </c>
      <c r="AM165" t="n">
        <v>25</v>
      </c>
      <c r="AN165" t="n">
        <v>4</v>
      </c>
      <c r="AO165" t="n">
        <v>4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HYPERLINK("http://catalog.hathitrust.org/Record/001644494","HathiTrust Record")</f>
        <v/>
      </c>
      <c r="AU165">
        <f>HYPERLINK("https://creighton-primo.hosted.exlibrisgroup.com/primo-explore/search?tab=default_tab&amp;search_scope=EVERYTHING&amp;vid=01CRU&amp;lang=en_US&amp;offset=0&amp;query=any,contains,991003577759702656","Catalog Record")</f>
        <v/>
      </c>
      <c r="AV165">
        <f>HYPERLINK("http://www.worldcat.org/oclc/1157493","WorldCat Record")</f>
        <v/>
      </c>
      <c r="AW165" t="inlineStr">
        <is>
          <t>2090631:eng</t>
        </is>
      </c>
      <c r="AX165" t="inlineStr">
        <is>
          <t>1157493</t>
        </is>
      </c>
      <c r="AY165" t="inlineStr">
        <is>
          <t>991003577759702656</t>
        </is>
      </c>
      <c r="AZ165" t="inlineStr">
        <is>
          <t>991003577759702656</t>
        </is>
      </c>
      <c r="BA165" t="inlineStr">
        <is>
          <t>2264035890002656</t>
        </is>
      </c>
      <c r="BB165" t="inlineStr">
        <is>
          <t>BOOK</t>
        </is>
      </c>
      <c r="BE165" t="inlineStr">
        <is>
          <t>32285000076165</t>
        </is>
      </c>
      <c r="BF165" t="inlineStr">
        <is>
          <t>893336646</t>
        </is>
      </c>
    </row>
    <row r="166">
      <c r="A166" t="inlineStr">
        <is>
          <t>No</t>
        </is>
      </c>
      <c r="B166" t="inlineStr">
        <is>
          <t>CURAL</t>
        </is>
      </c>
      <c r="C166" t="inlineStr">
        <is>
          <t>SHELVES</t>
        </is>
      </c>
      <c r="D166" t="inlineStr">
        <is>
          <t>BL2747.3 .L765</t>
        </is>
      </c>
      <c r="E166" t="inlineStr">
        <is>
          <t>0                      BL 2747300L  765</t>
        </is>
      </c>
      <c r="F166" t="inlineStr">
        <is>
          <t>Religion and atheism, by William A. Luijpen and Henry J. Koren.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Luijpen, W. (Wilhelmus), 1922-</t>
        </is>
      </c>
      <c r="N166" t="inlineStr">
        <is>
          <t>Pittsburgh, Duquesne University Press [1971]</t>
        </is>
      </c>
      <c r="O166" t="inlineStr">
        <is>
          <t>1971</t>
        </is>
      </c>
      <c r="Q166" t="inlineStr">
        <is>
          <t>eng</t>
        </is>
      </c>
      <c r="R166" t="inlineStr">
        <is>
          <t>pau</t>
        </is>
      </c>
      <c r="T166" t="inlineStr">
        <is>
          <t xml:space="preserve">BL </t>
        </is>
      </c>
      <c r="U166" t="n">
        <v>6</v>
      </c>
      <c r="V166" t="n">
        <v>6</v>
      </c>
      <c r="W166" t="inlineStr">
        <is>
          <t>1999-02-24</t>
        </is>
      </c>
      <c r="X166" t="inlineStr">
        <is>
          <t>1999-02-24</t>
        </is>
      </c>
      <c r="Y166" t="inlineStr">
        <is>
          <t>1990-10-23</t>
        </is>
      </c>
      <c r="Z166" t="inlineStr">
        <is>
          <t>1990-10-23</t>
        </is>
      </c>
      <c r="AA166" t="n">
        <v>455</v>
      </c>
      <c r="AB166" t="n">
        <v>410</v>
      </c>
      <c r="AC166" t="n">
        <v>419</v>
      </c>
      <c r="AD166" t="n">
        <v>4</v>
      </c>
      <c r="AE166" t="n">
        <v>4</v>
      </c>
      <c r="AF166" t="n">
        <v>31</v>
      </c>
      <c r="AG166" t="n">
        <v>31</v>
      </c>
      <c r="AH166" t="n">
        <v>11</v>
      </c>
      <c r="AI166" t="n">
        <v>11</v>
      </c>
      <c r="AJ166" t="n">
        <v>5</v>
      </c>
      <c r="AK166" t="n">
        <v>5</v>
      </c>
      <c r="AL166" t="n">
        <v>22</v>
      </c>
      <c r="AM166" t="n">
        <v>22</v>
      </c>
      <c r="AN166" t="n">
        <v>3</v>
      </c>
      <c r="AO166" t="n">
        <v>3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HYPERLINK("http://catalog.hathitrust.org/Record/001401468","HathiTrust Record")</f>
        <v/>
      </c>
      <c r="AU166">
        <f>HYPERLINK("https://creighton-primo.hosted.exlibrisgroup.com/primo-explore/search?tab=default_tab&amp;search_scope=EVERYTHING&amp;vid=01CRU&amp;lang=en_US&amp;offset=0&amp;query=any,contains,991000795559702656","Catalog Record")</f>
        <v/>
      </c>
      <c r="AV166">
        <f>HYPERLINK("http://www.worldcat.org/oclc/136809","WorldCat Record")</f>
        <v/>
      </c>
      <c r="AW166" t="inlineStr">
        <is>
          <t>1287923:eng</t>
        </is>
      </c>
      <c r="AX166" t="inlineStr">
        <is>
          <t>136809</t>
        </is>
      </c>
      <c r="AY166" t="inlineStr">
        <is>
          <t>991000795559702656</t>
        </is>
      </c>
      <c r="AZ166" t="inlineStr">
        <is>
          <t>991000795559702656</t>
        </is>
      </c>
      <c r="BA166" t="inlineStr">
        <is>
          <t>2264011680002656</t>
        </is>
      </c>
      <c r="BB166" t="inlineStr">
        <is>
          <t>BOOK</t>
        </is>
      </c>
      <c r="BD166" t="inlineStr">
        <is>
          <t>9780820701332</t>
        </is>
      </c>
      <c r="BE166" t="inlineStr">
        <is>
          <t>32285000352921</t>
        </is>
      </c>
      <c r="BF166" t="inlineStr">
        <is>
          <t>893438604</t>
        </is>
      </c>
    </row>
    <row r="167">
      <c r="A167" t="inlineStr">
        <is>
          <t>No</t>
        </is>
      </c>
      <c r="B167" t="inlineStr">
        <is>
          <t>CURAL</t>
        </is>
      </c>
      <c r="C167" t="inlineStr">
        <is>
          <t>SHELVES</t>
        </is>
      </c>
      <c r="D167" t="inlineStr">
        <is>
          <t>BL2747.3 .M332</t>
        </is>
      </c>
      <c r="E167" t="inlineStr">
        <is>
          <t>0                      BL 2747300M  332</t>
        </is>
      </c>
      <c r="F167" t="inlineStr">
        <is>
          <t>Atheism and alienation; a study of the philosophical sources of contemporary atheism.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Masterson, Patrick.</t>
        </is>
      </c>
      <c r="N167" t="inlineStr">
        <is>
          <t>[Notre Dame, Ind.] University of Notre Dame Press [1971]</t>
        </is>
      </c>
      <c r="O167" t="inlineStr">
        <is>
          <t>1971</t>
        </is>
      </c>
      <c r="Q167" t="inlineStr">
        <is>
          <t>eng</t>
        </is>
      </c>
      <c r="R167" t="inlineStr">
        <is>
          <t>inu</t>
        </is>
      </c>
      <c r="T167" t="inlineStr">
        <is>
          <t xml:space="preserve">BL </t>
        </is>
      </c>
      <c r="U167" t="n">
        <v>5</v>
      </c>
      <c r="V167" t="n">
        <v>5</v>
      </c>
      <c r="W167" t="inlineStr">
        <is>
          <t>2009-06-02</t>
        </is>
      </c>
      <c r="X167" t="inlineStr">
        <is>
          <t>2009-06-02</t>
        </is>
      </c>
      <c r="Y167" t="inlineStr">
        <is>
          <t>1990-10-23</t>
        </is>
      </c>
      <c r="Z167" t="inlineStr">
        <is>
          <t>1990-10-23</t>
        </is>
      </c>
      <c r="AA167" t="n">
        <v>673</v>
      </c>
      <c r="AB167" t="n">
        <v>590</v>
      </c>
      <c r="AC167" t="n">
        <v>661</v>
      </c>
      <c r="AD167" t="n">
        <v>6</v>
      </c>
      <c r="AE167" t="n">
        <v>6</v>
      </c>
      <c r="AF167" t="n">
        <v>36</v>
      </c>
      <c r="AG167" t="n">
        <v>39</v>
      </c>
      <c r="AH167" t="n">
        <v>11</v>
      </c>
      <c r="AI167" t="n">
        <v>14</v>
      </c>
      <c r="AJ167" t="n">
        <v>7</v>
      </c>
      <c r="AK167" t="n">
        <v>8</v>
      </c>
      <c r="AL167" t="n">
        <v>24</v>
      </c>
      <c r="AM167" t="n">
        <v>26</v>
      </c>
      <c r="AN167" t="n">
        <v>4</v>
      </c>
      <c r="AO167" t="n">
        <v>4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HYPERLINK("https://creighton-primo.hosted.exlibrisgroup.com/primo-explore/search?tab=default_tab&amp;search_scope=EVERYTHING&amp;vid=01CRU&amp;lang=en_US&amp;offset=0&amp;query=any,contains,991001270089702656","Catalog Record")</f>
        <v/>
      </c>
      <c r="AV167">
        <f>HYPERLINK("http://www.worldcat.org/oclc/211728","WorldCat Record")</f>
        <v/>
      </c>
      <c r="AW167" t="inlineStr">
        <is>
          <t>430456:eng</t>
        </is>
      </c>
      <c r="AX167" t="inlineStr">
        <is>
          <t>211728</t>
        </is>
      </c>
      <c r="AY167" t="inlineStr">
        <is>
          <t>991001270089702656</t>
        </is>
      </c>
      <c r="AZ167" t="inlineStr">
        <is>
          <t>991001270089702656</t>
        </is>
      </c>
      <c r="BA167" t="inlineStr">
        <is>
          <t>2263959850002656</t>
        </is>
      </c>
      <c r="BB167" t="inlineStr">
        <is>
          <t>BOOK</t>
        </is>
      </c>
      <c r="BD167" t="inlineStr">
        <is>
          <t>9780268004521</t>
        </is>
      </c>
      <c r="BE167" t="inlineStr">
        <is>
          <t>32285000352947</t>
        </is>
      </c>
      <c r="BF167" t="inlineStr">
        <is>
          <t>893496962</t>
        </is>
      </c>
    </row>
    <row r="168">
      <c r="A168" t="inlineStr">
        <is>
          <t>No</t>
        </is>
      </c>
      <c r="B168" t="inlineStr">
        <is>
          <t>CURAL</t>
        </is>
      </c>
      <c r="C168" t="inlineStr">
        <is>
          <t>SHELVES</t>
        </is>
      </c>
      <c r="D168" t="inlineStr">
        <is>
          <t>BL2747.3 .R4 1971</t>
        </is>
      </c>
      <c r="E168" t="inlineStr">
        <is>
          <t>0                      BL 2747300R  4           1971</t>
        </is>
      </c>
      <c r="F168" t="inlineStr">
        <is>
          <t>Man without God; an introduction to unbelief / John Reid.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Reid, John, 1927-</t>
        </is>
      </c>
      <c r="N168" t="inlineStr">
        <is>
          <t>New York, Corpus [1971]</t>
        </is>
      </c>
      <c r="O168" t="inlineStr">
        <is>
          <t>1971</t>
        </is>
      </c>
      <c r="Q168" t="inlineStr">
        <is>
          <t>eng</t>
        </is>
      </c>
      <c r="R168" t="inlineStr">
        <is>
          <t>nyu</t>
        </is>
      </c>
      <c r="S168" t="inlineStr">
        <is>
          <t>Theological resources</t>
        </is>
      </c>
      <c r="T168" t="inlineStr">
        <is>
          <t xml:space="preserve">BL </t>
        </is>
      </c>
      <c r="U168" t="n">
        <v>3</v>
      </c>
      <c r="V168" t="n">
        <v>3</v>
      </c>
      <c r="W168" t="inlineStr">
        <is>
          <t>1997-12-12</t>
        </is>
      </c>
      <c r="X168" t="inlineStr">
        <is>
          <t>1997-12-12</t>
        </is>
      </c>
      <c r="Y168" t="inlineStr">
        <is>
          <t>1990-10-23</t>
        </is>
      </c>
      <c r="Z168" t="inlineStr">
        <is>
          <t>1990-10-23</t>
        </is>
      </c>
      <c r="AA168" t="n">
        <v>383</v>
      </c>
      <c r="AB168" t="n">
        <v>348</v>
      </c>
      <c r="AC168" t="n">
        <v>407</v>
      </c>
      <c r="AD168" t="n">
        <v>4</v>
      </c>
      <c r="AE168" t="n">
        <v>4</v>
      </c>
      <c r="AF168" t="n">
        <v>29</v>
      </c>
      <c r="AG168" t="n">
        <v>33</v>
      </c>
      <c r="AH168" t="n">
        <v>12</v>
      </c>
      <c r="AI168" t="n">
        <v>13</v>
      </c>
      <c r="AJ168" t="n">
        <v>6</v>
      </c>
      <c r="AK168" t="n">
        <v>7</v>
      </c>
      <c r="AL168" t="n">
        <v>19</v>
      </c>
      <c r="AM168" t="n">
        <v>22</v>
      </c>
      <c r="AN168" t="n">
        <v>2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HYPERLINK("http://catalog.hathitrust.org/Record/009492818","HathiTrust Record")</f>
        <v/>
      </c>
      <c r="AU168">
        <f>HYPERLINK("https://creighton-primo.hosted.exlibrisgroup.com/primo-explore/search?tab=default_tab&amp;search_scope=EVERYTHING&amp;vid=01CRU&amp;lang=en_US&amp;offset=0&amp;query=any,contains,991000891599702656","Catalog Record")</f>
        <v/>
      </c>
      <c r="AV168">
        <f>HYPERLINK("http://www.worldcat.org/oclc/154346","WorldCat Record")</f>
        <v/>
      </c>
      <c r="AW168" t="inlineStr">
        <is>
          <t>297058815:eng</t>
        </is>
      </c>
      <c r="AX168" t="inlineStr">
        <is>
          <t>154346</t>
        </is>
      </c>
      <c r="AY168" t="inlineStr">
        <is>
          <t>991000891599702656</t>
        </is>
      </c>
      <c r="AZ168" t="inlineStr">
        <is>
          <t>991000891599702656</t>
        </is>
      </c>
      <c r="BA168" t="inlineStr">
        <is>
          <t>2255165730002656</t>
        </is>
      </c>
      <c r="BB168" t="inlineStr">
        <is>
          <t>BOOK</t>
        </is>
      </c>
      <c r="BD168" t="inlineStr">
        <is>
          <t>9780664209100</t>
        </is>
      </c>
      <c r="BE168" t="inlineStr">
        <is>
          <t>32285000352954</t>
        </is>
      </c>
      <c r="BF168" t="inlineStr">
        <is>
          <t>893891118</t>
        </is>
      </c>
    </row>
    <row r="169">
      <c r="A169" t="inlineStr">
        <is>
          <t>No</t>
        </is>
      </c>
      <c r="B169" t="inlineStr">
        <is>
          <t>CURAL</t>
        </is>
      </c>
      <c r="C169" t="inlineStr">
        <is>
          <t>SHELVES</t>
        </is>
      </c>
      <c r="D169" t="inlineStr">
        <is>
          <t>BL2747.3 .S37</t>
        </is>
      </c>
      <c r="E169" t="inlineStr">
        <is>
          <t>0                      BL 2747300S  37</t>
        </is>
      </c>
      <c r="F169" t="inlineStr">
        <is>
          <t>God in an age of atheism [by] S. Paul Schilling.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M169" t="inlineStr">
        <is>
          <t>Schilling, S. Paul (Sylvester Paul), 1904-1994.</t>
        </is>
      </c>
      <c r="N169" t="inlineStr">
        <is>
          <t>Nashville, Abingdon Press [1969]</t>
        </is>
      </c>
      <c r="O169" t="inlineStr">
        <is>
          <t>1969</t>
        </is>
      </c>
      <c r="Q169" t="inlineStr">
        <is>
          <t>eng</t>
        </is>
      </c>
      <c r="R169" t="inlineStr">
        <is>
          <t>tnu</t>
        </is>
      </c>
      <c r="T169" t="inlineStr">
        <is>
          <t xml:space="preserve">BL </t>
        </is>
      </c>
      <c r="U169" t="n">
        <v>4</v>
      </c>
      <c r="V169" t="n">
        <v>4</v>
      </c>
      <c r="W169" t="inlineStr">
        <is>
          <t>1999-02-19</t>
        </is>
      </c>
      <c r="X169" t="inlineStr">
        <is>
          <t>1999-02-19</t>
        </is>
      </c>
      <c r="Y169" t="inlineStr">
        <is>
          <t>1990-10-23</t>
        </is>
      </c>
      <c r="Z169" t="inlineStr">
        <is>
          <t>1990-10-23</t>
        </is>
      </c>
      <c r="AA169" t="n">
        <v>620</v>
      </c>
      <c r="AB169" t="n">
        <v>542</v>
      </c>
      <c r="AC169" t="n">
        <v>542</v>
      </c>
      <c r="AD169" t="n">
        <v>5</v>
      </c>
      <c r="AE169" t="n">
        <v>5</v>
      </c>
      <c r="AF169" t="n">
        <v>28</v>
      </c>
      <c r="AG169" t="n">
        <v>28</v>
      </c>
      <c r="AH169" t="n">
        <v>12</v>
      </c>
      <c r="AI169" t="n">
        <v>12</v>
      </c>
      <c r="AJ169" t="n">
        <v>5</v>
      </c>
      <c r="AK169" t="n">
        <v>5</v>
      </c>
      <c r="AL169" t="n">
        <v>17</v>
      </c>
      <c r="AM169" t="n">
        <v>17</v>
      </c>
      <c r="AN169" t="n">
        <v>3</v>
      </c>
      <c r="AO169" t="n">
        <v>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HYPERLINK("https://creighton-primo.hosted.exlibrisgroup.com/primo-explore/search?tab=default_tab&amp;search_scope=EVERYTHING&amp;vid=01CRU&amp;lang=en_US&amp;offset=0&amp;query=any,contains,991000067259702656","Catalog Record")</f>
        <v/>
      </c>
      <c r="AV169">
        <f>HYPERLINK("http://www.worldcat.org/oclc/27304","WorldCat Record")</f>
        <v/>
      </c>
      <c r="AW169" t="inlineStr">
        <is>
          <t>9462963871:eng</t>
        </is>
      </c>
      <c r="AX169" t="inlineStr">
        <is>
          <t>27304</t>
        </is>
      </c>
      <c r="AY169" t="inlineStr">
        <is>
          <t>991000067259702656</t>
        </is>
      </c>
      <c r="AZ169" t="inlineStr">
        <is>
          <t>991000067259702656</t>
        </is>
      </c>
      <c r="BA169" t="inlineStr">
        <is>
          <t>2262579360002656</t>
        </is>
      </c>
      <c r="BB169" t="inlineStr">
        <is>
          <t>BOOK</t>
        </is>
      </c>
      <c r="BD169" t="inlineStr">
        <is>
          <t>9780687150755</t>
        </is>
      </c>
      <c r="BE169" t="inlineStr">
        <is>
          <t>32285000352962</t>
        </is>
      </c>
      <c r="BF169" t="inlineStr">
        <is>
          <t>893790207</t>
        </is>
      </c>
    </row>
    <row r="170">
      <c r="A170" t="inlineStr">
        <is>
          <t>No</t>
        </is>
      </c>
      <c r="B170" t="inlineStr">
        <is>
          <t>CURAL</t>
        </is>
      </c>
      <c r="C170" t="inlineStr">
        <is>
          <t>SHELVES</t>
        </is>
      </c>
      <c r="D170" t="inlineStr">
        <is>
          <t>BL2747.3 .V66</t>
        </is>
      </c>
      <c r="E170" t="inlineStr">
        <is>
          <t>0                      BL 2747300V  66</t>
        </is>
      </c>
      <c r="F170" t="inlineStr">
        <is>
          <t>The new Tower of Babel, essays / by Dietrich Von Hildebrand.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Von Hildebrand, Dietrich, 1889-1977.</t>
        </is>
      </c>
      <c r="N170" t="inlineStr">
        <is>
          <t>New York, P. J. Kenedy [1953]</t>
        </is>
      </c>
      <c r="O170" t="inlineStr">
        <is>
          <t>1953</t>
        </is>
      </c>
      <c r="Q170" t="inlineStr">
        <is>
          <t>eng</t>
        </is>
      </c>
      <c r="R170" t="inlineStr">
        <is>
          <t>___</t>
        </is>
      </c>
      <c r="T170" t="inlineStr">
        <is>
          <t xml:space="preserve">BL </t>
        </is>
      </c>
      <c r="U170" t="n">
        <v>3</v>
      </c>
      <c r="V170" t="n">
        <v>3</v>
      </c>
      <c r="W170" t="inlineStr">
        <is>
          <t>1994-03-07</t>
        </is>
      </c>
      <c r="X170" t="inlineStr">
        <is>
          <t>1994-03-07</t>
        </is>
      </c>
      <c r="Y170" t="inlineStr">
        <is>
          <t>1990-10-23</t>
        </is>
      </c>
      <c r="Z170" t="inlineStr">
        <is>
          <t>1990-10-23</t>
        </is>
      </c>
      <c r="AA170" t="n">
        <v>210</v>
      </c>
      <c r="AB170" t="n">
        <v>191</v>
      </c>
      <c r="AC170" t="n">
        <v>247</v>
      </c>
      <c r="AD170" t="n">
        <v>2</v>
      </c>
      <c r="AE170" t="n">
        <v>2</v>
      </c>
      <c r="AF170" t="n">
        <v>31</v>
      </c>
      <c r="AG170" t="n">
        <v>34</v>
      </c>
      <c r="AH170" t="n">
        <v>10</v>
      </c>
      <c r="AI170" t="n">
        <v>13</v>
      </c>
      <c r="AJ170" t="n">
        <v>9</v>
      </c>
      <c r="AK170" t="n">
        <v>9</v>
      </c>
      <c r="AL170" t="n">
        <v>23</v>
      </c>
      <c r="AM170" t="n">
        <v>25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HYPERLINK("http://catalog.hathitrust.org/Record/001416569","HathiTrust Record")</f>
        <v/>
      </c>
      <c r="AU170">
        <f>HYPERLINK("https://creighton-primo.hosted.exlibrisgroup.com/primo-explore/search?tab=default_tab&amp;search_scope=EVERYTHING&amp;vid=01CRU&amp;lang=en_US&amp;offset=0&amp;query=any,contains,991003439529702656","Catalog Record")</f>
        <v/>
      </c>
      <c r="AV170">
        <f>HYPERLINK("http://www.worldcat.org/oclc/975570","WorldCat Record")</f>
        <v/>
      </c>
      <c r="AW170" t="inlineStr">
        <is>
          <t>223890409:eng</t>
        </is>
      </c>
      <c r="AX170" t="inlineStr">
        <is>
          <t>975570</t>
        </is>
      </c>
      <c r="AY170" t="inlineStr">
        <is>
          <t>991003439529702656</t>
        </is>
      </c>
      <c r="AZ170" t="inlineStr">
        <is>
          <t>991003439529702656</t>
        </is>
      </c>
      <c r="BA170" t="inlineStr">
        <is>
          <t>2257143030002656</t>
        </is>
      </c>
      <c r="BB170" t="inlineStr">
        <is>
          <t>BOOK</t>
        </is>
      </c>
      <c r="BE170" t="inlineStr">
        <is>
          <t>32285000352988</t>
        </is>
      </c>
      <c r="BF170" t="inlineStr">
        <is>
          <t>893868406</t>
        </is>
      </c>
    </row>
    <row r="171">
      <c r="A171" t="inlineStr">
        <is>
          <t>No</t>
        </is>
      </c>
      <c r="B171" t="inlineStr">
        <is>
          <t>CURAL</t>
        </is>
      </c>
      <c r="C171" t="inlineStr">
        <is>
          <t>SHELVES</t>
        </is>
      </c>
      <c r="D171" t="inlineStr">
        <is>
          <t>BL2747.4 .W33 1992</t>
        </is>
      </c>
      <c r="E171" t="inlineStr">
        <is>
          <t>0                      BL 2747400W  33          1992</t>
        </is>
      </c>
      <c r="F171" t="inlineStr">
        <is>
          <t>The American deists : voices of reason and dissent in the early republic / Kerry S. Walters.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Walters, Kerry S.</t>
        </is>
      </c>
      <c r="N171" t="inlineStr">
        <is>
          <t>Lawrence, Kan. : University Press of Kansas, c1992.</t>
        </is>
      </c>
      <c r="O171" t="inlineStr">
        <is>
          <t>1992</t>
        </is>
      </c>
      <c r="Q171" t="inlineStr">
        <is>
          <t>eng</t>
        </is>
      </c>
      <c r="R171" t="inlineStr">
        <is>
          <t>ksu</t>
        </is>
      </c>
      <c r="T171" t="inlineStr">
        <is>
          <t xml:space="preserve">BL </t>
        </is>
      </c>
      <c r="U171" t="n">
        <v>3</v>
      </c>
      <c r="V171" t="n">
        <v>3</v>
      </c>
      <c r="W171" t="inlineStr">
        <is>
          <t>2005-04-25</t>
        </is>
      </c>
      <c r="X171" t="inlineStr">
        <is>
          <t>2005-04-25</t>
        </is>
      </c>
      <c r="Y171" t="inlineStr">
        <is>
          <t>1994-02-23</t>
        </is>
      </c>
      <c r="Z171" t="inlineStr">
        <is>
          <t>1994-02-23</t>
        </is>
      </c>
      <c r="AA171" t="n">
        <v>562</v>
      </c>
      <c r="AB171" t="n">
        <v>522</v>
      </c>
      <c r="AC171" t="n">
        <v>524</v>
      </c>
      <c r="AD171" t="n">
        <v>6</v>
      </c>
      <c r="AE171" t="n">
        <v>6</v>
      </c>
      <c r="AF171" t="n">
        <v>31</v>
      </c>
      <c r="AG171" t="n">
        <v>31</v>
      </c>
      <c r="AH171" t="n">
        <v>11</v>
      </c>
      <c r="AI171" t="n">
        <v>11</v>
      </c>
      <c r="AJ171" t="n">
        <v>6</v>
      </c>
      <c r="AK171" t="n">
        <v>6</v>
      </c>
      <c r="AL171" t="n">
        <v>16</v>
      </c>
      <c r="AM171" t="n">
        <v>16</v>
      </c>
      <c r="AN171" t="n">
        <v>5</v>
      </c>
      <c r="AO171" t="n">
        <v>5</v>
      </c>
      <c r="AP171" t="n">
        <v>1</v>
      </c>
      <c r="AQ171" t="n">
        <v>1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HYPERLINK("http://catalog.hathitrust.org/Record/002566678","HathiTrust Record")</f>
        <v/>
      </c>
      <c r="AU171">
        <f>HYPERLINK("https://creighton-primo.hosted.exlibrisgroup.com/primo-explore/search?tab=default_tab&amp;search_scope=EVERYTHING&amp;vid=01CRU&amp;lang=en_US&amp;offset=0&amp;query=any,contains,991001991179702656","Catalog Record")</f>
        <v/>
      </c>
      <c r="AV171">
        <f>HYPERLINK("http://www.worldcat.org/oclc/25283016","WorldCat Record")</f>
        <v/>
      </c>
      <c r="AW171" t="inlineStr">
        <is>
          <t>20933563:eng</t>
        </is>
      </c>
      <c r="AX171" t="inlineStr">
        <is>
          <t>25283016</t>
        </is>
      </c>
      <c r="AY171" t="inlineStr">
        <is>
          <t>991001991179702656</t>
        </is>
      </c>
      <c r="AZ171" t="inlineStr">
        <is>
          <t>991001991179702656</t>
        </is>
      </c>
      <c r="BA171" t="inlineStr">
        <is>
          <t>2272445020002656</t>
        </is>
      </c>
      <c r="BB171" t="inlineStr">
        <is>
          <t>BOOK</t>
        </is>
      </c>
      <c r="BD171" t="inlineStr">
        <is>
          <t>9780700605408</t>
        </is>
      </c>
      <c r="BE171" t="inlineStr">
        <is>
          <t>32285001843183</t>
        </is>
      </c>
      <c r="BF171" t="inlineStr">
        <is>
          <t>893256736</t>
        </is>
      </c>
    </row>
    <row r="172">
      <c r="A172" t="inlineStr">
        <is>
          <t>No</t>
        </is>
      </c>
      <c r="B172" t="inlineStr">
        <is>
          <t>CURAL</t>
        </is>
      </c>
      <c r="C172" t="inlineStr">
        <is>
          <t>SHELVES</t>
        </is>
      </c>
      <c r="D172" t="inlineStr">
        <is>
          <t>BL2747.8 .B35</t>
        </is>
      </c>
      <c r="E172" t="inlineStr">
        <is>
          <t>0                      BL 2747800B  35</t>
        </is>
      </c>
      <c r="F172" t="inlineStr">
        <is>
          <t>Religion and the rise of scepticism / by Franklin L. Baumer.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M172" t="inlineStr">
        <is>
          <t>Baumer, Franklin L. (Franklin Le Van), 1913-1990.</t>
        </is>
      </c>
      <c r="N172" t="inlineStr">
        <is>
          <t>New York : Harcourt, Brace &amp; World, 1960.</t>
        </is>
      </c>
      <c r="O172" t="inlineStr">
        <is>
          <t>1960</t>
        </is>
      </c>
      <c r="Q172" t="inlineStr">
        <is>
          <t>eng</t>
        </is>
      </c>
      <c r="R172" t="inlineStr">
        <is>
          <t>nyu</t>
        </is>
      </c>
      <c r="S172" t="inlineStr">
        <is>
          <t>A Harbinger book</t>
        </is>
      </c>
      <c r="T172" t="inlineStr">
        <is>
          <t xml:space="preserve">BL </t>
        </is>
      </c>
      <c r="U172" t="n">
        <v>2</v>
      </c>
      <c r="V172" t="n">
        <v>2</v>
      </c>
      <c r="W172" t="inlineStr">
        <is>
          <t>2006-12-08</t>
        </is>
      </c>
      <c r="X172" t="inlineStr">
        <is>
          <t>2006-12-08</t>
        </is>
      </c>
      <c r="Y172" t="inlineStr">
        <is>
          <t>1990-10-23</t>
        </is>
      </c>
      <c r="Z172" t="inlineStr">
        <is>
          <t>1990-10-23</t>
        </is>
      </c>
      <c r="AA172" t="n">
        <v>741</v>
      </c>
      <c r="AB172" t="n">
        <v>640</v>
      </c>
      <c r="AC172" t="n">
        <v>646</v>
      </c>
      <c r="AD172" t="n">
        <v>3</v>
      </c>
      <c r="AE172" t="n">
        <v>3</v>
      </c>
      <c r="AF172" t="n">
        <v>24</v>
      </c>
      <c r="AG172" t="n">
        <v>24</v>
      </c>
      <c r="AH172" t="n">
        <v>9</v>
      </c>
      <c r="AI172" t="n">
        <v>9</v>
      </c>
      <c r="AJ172" t="n">
        <v>6</v>
      </c>
      <c r="AK172" t="n">
        <v>6</v>
      </c>
      <c r="AL172" t="n">
        <v>15</v>
      </c>
      <c r="AM172" t="n">
        <v>15</v>
      </c>
      <c r="AN172" t="n">
        <v>1</v>
      </c>
      <c r="AO172" t="n">
        <v>1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HYPERLINK("https://creighton-primo.hosted.exlibrisgroup.com/primo-explore/search?tab=default_tab&amp;search_scope=EVERYTHING&amp;vid=01CRU&amp;lang=en_US&amp;offset=0&amp;query=any,contains,991004834409702656","Catalog Record")</f>
        <v/>
      </c>
      <c r="AV172">
        <f>HYPERLINK("http://www.worldcat.org/oclc/5434547","WorldCat Record")</f>
        <v/>
      </c>
      <c r="AW172" t="inlineStr">
        <is>
          <t>17808372:eng</t>
        </is>
      </c>
      <c r="AX172" t="inlineStr">
        <is>
          <t>5434547</t>
        </is>
      </c>
      <c r="AY172" t="inlineStr">
        <is>
          <t>991004834409702656</t>
        </is>
      </c>
      <c r="AZ172" t="inlineStr">
        <is>
          <t>991004834409702656</t>
        </is>
      </c>
      <c r="BA172" t="inlineStr">
        <is>
          <t>2260354910002656</t>
        </is>
      </c>
      <c r="BB172" t="inlineStr">
        <is>
          <t>BOOK</t>
        </is>
      </c>
      <c r="BE172" t="inlineStr">
        <is>
          <t>32285000353010</t>
        </is>
      </c>
      <c r="BF172" t="inlineStr">
        <is>
          <t>893782710</t>
        </is>
      </c>
    </row>
    <row r="173">
      <c r="A173" t="inlineStr">
        <is>
          <t>No</t>
        </is>
      </c>
      <c r="B173" t="inlineStr">
        <is>
          <t>CURAL</t>
        </is>
      </c>
      <c r="C173" t="inlineStr">
        <is>
          <t>SHELVES</t>
        </is>
      </c>
      <c r="D173" t="inlineStr">
        <is>
          <t>BL2747.8 .H33</t>
        </is>
      </c>
      <c r="E173" t="inlineStr">
        <is>
          <t>0                      BL 2747800H  33</t>
        </is>
      </c>
      <c r="F173" t="inlineStr">
        <is>
          <t>Faith and morality in the secular age / by Bernard Hearing.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Häring, Bernhard, 1912-1998.</t>
        </is>
      </c>
      <c r="N173" t="inlineStr">
        <is>
          <t>Garden City, NY : Doubleday, 1973.</t>
        </is>
      </c>
      <c r="O173" t="inlineStr">
        <is>
          <t>1973</t>
        </is>
      </c>
      <c r="P173" t="inlineStr">
        <is>
          <t>[1st ed.]</t>
        </is>
      </c>
      <c r="Q173" t="inlineStr">
        <is>
          <t>eng</t>
        </is>
      </c>
      <c r="R173" t="inlineStr">
        <is>
          <t>nyu</t>
        </is>
      </c>
      <c r="T173" t="inlineStr">
        <is>
          <t xml:space="preserve">BL </t>
        </is>
      </c>
      <c r="U173" t="n">
        <v>1</v>
      </c>
      <c r="V173" t="n">
        <v>1</v>
      </c>
      <c r="W173" t="inlineStr">
        <is>
          <t>2002-10-01</t>
        </is>
      </c>
      <c r="X173" t="inlineStr">
        <is>
          <t>2002-10-01</t>
        </is>
      </c>
      <c r="Y173" t="inlineStr">
        <is>
          <t>2000-06-15</t>
        </is>
      </c>
      <c r="Z173" t="inlineStr">
        <is>
          <t>2000-06-15</t>
        </is>
      </c>
      <c r="AA173" t="n">
        <v>417</v>
      </c>
      <c r="AB173" t="n">
        <v>363</v>
      </c>
      <c r="AC173" t="n">
        <v>373</v>
      </c>
      <c r="AD173" t="n">
        <v>3</v>
      </c>
      <c r="AE173" t="n">
        <v>3</v>
      </c>
      <c r="AF173" t="n">
        <v>28</v>
      </c>
      <c r="AG173" t="n">
        <v>28</v>
      </c>
      <c r="AH173" t="n">
        <v>8</v>
      </c>
      <c r="AI173" t="n">
        <v>8</v>
      </c>
      <c r="AJ173" t="n">
        <v>9</v>
      </c>
      <c r="AK173" t="n">
        <v>9</v>
      </c>
      <c r="AL173" t="n">
        <v>19</v>
      </c>
      <c r="AM173" t="n">
        <v>19</v>
      </c>
      <c r="AN173" t="n">
        <v>1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HYPERLINK("http://catalog.hathitrust.org/Record/101870867","HathiTrust Record")</f>
        <v/>
      </c>
      <c r="AU173">
        <f>HYPERLINK("https://creighton-primo.hosted.exlibrisgroup.com/primo-explore/search?tab=default_tab&amp;search_scope=EVERYTHING&amp;vid=01CRU&amp;lang=en_US&amp;offset=0&amp;query=any,contains,991003090919702656","Catalog Record")</f>
        <v/>
      </c>
      <c r="AV173">
        <f>HYPERLINK("http://www.worldcat.org/oclc/701715","WorldCat Record")</f>
        <v/>
      </c>
      <c r="AW173" t="inlineStr">
        <is>
          <t>1603585:eng</t>
        </is>
      </c>
      <c r="AX173" t="inlineStr">
        <is>
          <t>701715</t>
        </is>
      </c>
      <c r="AY173" t="inlineStr">
        <is>
          <t>991003090919702656</t>
        </is>
      </c>
      <c r="AZ173" t="inlineStr">
        <is>
          <t>991003090919702656</t>
        </is>
      </c>
      <c r="BA173" t="inlineStr">
        <is>
          <t>2254931670002656</t>
        </is>
      </c>
      <c r="BB173" t="inlineStr">
        <is>
          <t>BOOK</t>
        </is>
      </c>
      <c r="BD173" t="inlineStr">
        <is>
          <t>9780385038379</t>
        </is>
      </c>
      <c r="BE173" t="inlineStr">
        <is>
          <t>32285003560819</t>
        </is>
      </c>
      <c r="BF173" t="inlineStr">
        <is>
          <t>893692393</t>
        </is>
      </c>
    </row>
    <row r="174">
      <c r="A174" t="inlineStr">
        <is>
          <t>No</t>
        </is>
      </c>
      <c r="B174" t="inlineStr">
        <is>
          <t>CURAL</t>
        </is>
      </c>
      <c r="C174" t="inlineStr">
        <is>
          <t>SHELVES</t>
        </is>
      </c>
      <c r="D174" t="inlineStr">
        <is>
          <t>BL2747.8 .M39 1980</t>
        </is>
      </c>
      <c r="E174" t="inlineStr">
        <is>
          <t>0                      BL 2747800M  39          1980</t>
        </is>
      </c>
      <c r="F174" t="inlineStr">
        <is>
          <t>Religious ministry in a transcendentless culture / Ronald B. Mayers.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Mayers, Ronald B.</t>
        </is>
      </c>
      <c r="N174" t="inlineStr">
        <is>
          <t>Washington, D.C. : University Press of America, c1980.</t>
        </is>
      </c>
      <c r="O174" t="inlineStr">
        <is>
          <t>1980</t>
        </is>
      </c>
      <c r="Q174" t="inlineStr">
        <is>
          <t>eng</t>
        </is>
      </c>
      <c r="R174" t="inlineStr">
        <is>
          <t>dcu</t>
        </is>
      </c>
      <c r="T174" t="inlineStr">
        <is>
          <t xml:space="preserve">BL </t>
        </is>
      </c>
      <c r="U174" t="n">
        <v>1</v>
      </c>
      <c r="V174" t="n">
        <v>1</v>
      </c>
      <c r="W174" t="inlineStr">
        <is>
          <t>2000-11-20</t>
        </is>
      </c>
      <c r="X174" t="inlineStr">
        <is>
          <t>2000-11-20</t>
        </is>
      </c>
      <c r="Y174" t="inlineStr">
        <is>
          <t>1990-10-23</t>
        </is>
      </c>
      <c r="Z174" t="inlineStr">
        <is>
          <t>1990-10-23</t>
        </is>
      </c>
      <c r="AA174" t="n">
        <v>105</v>
      </c>
      <c r="AB174" t="n">
        <v>94</v>
      </c>
      <c r="AC174" t="n">
        <v>94</v>
      </c>
      <c r="AD174" t="n">
        <v>2</v>
      </c>
      <c r="AE174" t="n">
        <v>2</v>
      </c>
      <c r="AF174" t="n">
        <v>6</v>
      </c>
      <c r="AG174" t="n">
        <v>6</v>
      </c>
      <c r="AH174" t="n">
        <v>0</v>
      </c>
      <c r="AI174" t="n">
        <v>0</v>
      </c>
      <c r="AJ174" t="n">
        <v>3</v>
      </c>
      <c r="AK174" t="n">
        <v>3</v>
      </c>
      <c r="AL174" t="n">
        <v>3</v>
      </c>
      <c r="AM174" t="n">
        <v>3</v>
      </c>
      <c r="AN174" t="n">
        <v>1</v>
      </c>
      <c r="AO174" t="n">
        <v>1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HYPERLINK("https://creighton-primo.hosted.exlibrisgroup.com/primo-explore/search?tab=default_tab&amp;search_scope=EVERYTHING&amp;vid=01CRU&amp;lang=en_US&amp;offset=0&amp;query=any,contains,991005001639702656","Catalog Record")</f>
        <v/>
      </c>
      <c r="AV174">
        <f>HYPERLINK("http://www.worldcat.org/oclc/6552436","WorldCat Record")</f>
        <v/>
      </c>
      <c r="AW174" t="inlineStr">
        <is>
          <t>483002:eng</t>
        </is>
      </c>
      <c r="AX174" t="inlineStr">
        <is>
          <t>6552436</t>
        </is>
      </c>
      <c r="AY174" t="inlineStr">
        <is>
          <t>991005001639702656</t>
        </is>
      </c>
      <c r="AZ174" t="inlineStr">
        <is>
          <t>991005001639702656</t>
        </is>
      </c>
      <c r="BA174" t="inlineStr">
        <is>
          <t>2255930930002656</t>
        </is>
      </c>
      <c r="BB174" t="inlineStr">
        <is>
          <t>BOOK</t>
        </is>
      </c>
      <c r="BD174" t="inlineStr">
        <is>
          <t>9780819108890</t>
        </is>
      </c>
      <c r="BE174" t="inlineStr">
        <is>
          <t>32285000353051</t>
        </is>
      </c>
      <c r="BF174" t="inlineStr">
        <is>
          <t>893536301</t>
        </is>
      </c>
    </row>
    <row r="175">
      <c r="A175" t="inlineStr">
        <is>
          <t>No</t>
        </is>
      </c>
      <c r="B175" t="inlineStr">
        <is>
          <t>CURAL</t>
        </is>
      </c>
      <c r="C175" t="inlineStr">
        <is>
          <t>SHELVES</t>
        </is>
      </c>
      <c r="D175" t="inlineStr">
        <is>
          <t>BL2747.8 .O3</t>
        </is>
      </c>
      <c r="E175" t="inlineStr">
        <is>
          <t>0                      BL 2747800O  3</t>
        </is>
      </c>
      <c r="F175" t="inlineStr">
        <is>
          <t>The theology of secularity / Gerald O'Collins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O'Collins, Gerald.</t>
        </is>
      </c>
      <c r="N175" t="inlineStr">
        <is>
          <t>Notre Dame, Ind., Fides Publishers [c1974]</t>
        </is>
      </c>
      <c r="O175" t="inlineStr">
        <is>
          <t>1974</t>
        </is>
      </c>
      <c r="Q175" t="inlineStr">
        <is>
          <t>eng</t>
        </is>
      </c>
      <c r="R175" t="inlineStr">
        <is>
          <t>___</t>
        </is>
      </c>
      <c r="S175" t="inlineStr">
        <is>
          <t>Theology today series ; no. 23</t>
        </is>
      </c>
      <c r="T175" t="inlineStr">
        <is>
          <t xml:space="preserve">BL </t>
        </is>
      </c>
      <c r="U175" t="n">
        <v>1</v>
      </c>
      <c r="V175" t="n">
        <v>1</v>
      </c>
      <c r="W175" t="inlineStr">
        <is>
          <t>1993-05-05</t>
        </is>
      </c>
      <c r="X175" t="inlineStr">
        <is>
          <t>1993-05-05</t>
        </is>
      </c>
      <c r="Y175" t="inlineStr">
        <is>
          <t>1990-10-23</t>
        </is>
      </c>
      <c r="Z175" t="inlineStr">
        <is>
          <t>1990-10-23</t>
        </is>
      </c>
      <c r="AA175" t="n">
        <v>127</v>
      </c>
      <c r="AB175" t="n">
        <v>111</v>
      </c>
      <c r="AC175" t="n">
        <v>116</v>
      </c>
      <c r="AD175" t="n">
        <v>2</v>
      </c>
      <c r="AE175" t="n">
        <v>2</v>
      </c>
      <c r="AF175" t="n">
        <v>17</v>
      </c>
      <c r="AG175" t="n">
        <v>18</v>
      </c>
      <c r="AH175" t="n">
        <v>4</v>
      </c>
      <c r="AI175" t="n">
        <v>4</v>
      </c>
      <c r="AJ175" t="n">
        <v>5</v>
      </c>
      <c r="AK175" t="n">
        <v>5</v>
      </c>
      <c r="AL175" t="n">
        <v>14</v>
      </c>
      <c r="AM175" t="n">
        <v>15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HYPERLINK("https://creighton-primo.hosted.exlibrisgroup.com/primo-explore/search?tab=default_tab&amp;search_scope=EVERYTHING&amp;vid=01CRU&amp;lang=en_US&amp;offset=0&amp;query=any,contains,991003568909702656","Catalog Record")</f>
        <v/>
      </c>
      <c r="AV175">
        <f>HYPERLINK("http://www.worldcat.org/oclc/1143540","WorldCat Record")</f>
        <v/>
      </c>
      <c r="AW175" t="inlineStr">
        <is>
          <t>2066191:eng</t>
        </is>
      </c>
      <c r="AX175" t="inlineStr">
        <is>
          <t>1143540</t>
        </is>
      </c>
      <c r="AY175" t="inlineStr">
        <is>
          <t>991003568909702656</t>
        </is>
      </c>
      <c r="AZ175" t="inlineStr">
        <is>
          <t>991003568909702656</t>
        </is>
      </c>
      <c r="BA175" t="inlineStr">
        <is>
          <t>2260871550002656</t>
        </is>
      </c>
      <c r="BB175" t="inlineStr">
        <is>
          <t>BOOK</t>
        </is>
      </c>
      <c r="BE175" t="inlineStr">
        <is>
          <t>32285000353069</t>
        </is>
      </c>
      <c r="BF175" t="inlineStr">
        <is>
          <t>893623630</t>
        </is>
      </c>
    </row>
    <row r="176">
      <c r="A176" t="inlineStr">
        <is>
          <t>No</t>
        </is>
      </c>
      <c r="B176" t="inlineStr">
        <is>
          <t>CURAL</t>
        </is>
      </c>
      <c r="C176" t="inlineStr">
        <is>
          <t>SHELVES</t>
        </is>
      </c>
      <c r="D176" t="inlineStr">
        <is>
          <t>BL2757 .F213</t>
        </is>
      </c>
      <c r="E176" t="inlineStr">
        <is>
          <t>0                      BL 2757000F  213</t>
        </is>
      </c>
      <c r="F176" t="inlineStr">
        <is>
          <t>God in exile: modern atheism; a study of the internal dynamic of modern atheism, from its roots in the Cartesian cogito to the present day / Translated and edited by Arthur Gibson.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Fabro, Cornelio.</t>
        </is>
      </c>
      <c r="N176" t="inlineStr">
        <is>
          <t>Westminster, Md., Newman Press [1968]</t>
        </is>
      </c>
      <c r="O176" t="inlineStr">
        <is>
          <t>1968</t>
        </is>
      </c>
      <c r="Q176" t="inlineStr">
        <is>
          <t>eng</t>
        </is>
      </c>
      <c r="R176" t="inlineStr">
        <is>
          <t>mdu</t>
        </is>
      </c>
      <c r="T176" t="inlineStr">
        <is>
          <t xml:space="preserve">BL </t>
        </is>
      </c>
      <c r="U176" t="n">
        <v>3</v>
      </c>
      <c r="V176" t="n">
        <v>3</v>
      </c>
      <c r="W176" t="inlineStr">
        <is>
          <t>2002-04-26</t>
        </is>
      </c>
      <c r="X176" t="inlineStr">
        <is>
          <t>2002-04-26</t>
        </is>
      </c>
      <c r="Y176" t="inlineStr">
        <is>
          <t>1990-10-23</t>
        </is>
      </c>
      <c r="Z176" t="inlineStr">
        <is>
          <t>1990-10-23</t>
        </is>
      </c>
      <c r="AA176" t="n">
        <v>586</v>
      </c>
      <c r="AB176" t="n">
        <v>508</v>
      </c>
      <c r="AC176" t="n">
        <v>524</v>
      </c>
      <c r="AD176" t="n">
        <v>3</v>
      </c>
      <c r="AE176" t="n">
        <v>4</v>
      </c>
      <c r="AF176" t="n">
        <v>34</v>
      </c>
      <c r="AG176" t="n">
        <v>36</v>
      </c>
      <c r="AH176" t="n">
        <v>10</v>
      </c>
      <c r="AI176" t="n">
        <v>11</v>
      </c>
      <c r="AJ176" t="n">
        <v>10</v>
      </c>
      <c r="AK176" t="n">
        <v>10</v>
      </c>
      <c r="AL176" t="n">
        <v>23</v>
      </c>
      <c r="AM176" t="n">
        <v>24</v>
      </c>
      <c r="AN176" t="n">
        <v>1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HYPERLINK("http://catalog.hathitrust.org/Record/001401504","HathiTrust Record")</f>
        <v/>
      </c>
      <c r="AU176">
        <f>HYPERLINK("https://creighton-primo.hosted.exlibrisgroup.com/primo-explore/search?tab=default_tab&amp;search_scope=EVERYTHING&amp;vid=01CRU&amp;lang=en_US&amp;offset=0&amp;query=any,contains,991002786099702656","Catalog Record")</f>
        <v/>
      </c>
      <c r="AV176">
        <f>HYPERLINK("http://www.worldcat.org/oclc/441689","WorldCat Record")</f>
        <v/>
      </c>
      <c r="AW176" t="inlineStr">
        <is>
          <t>579472:eng</t>
        </is>
      </c>
      <c r="AX176" t="inlineStr">
        <is>
          <t>441689</t>
        </is>
      </c>
      <c r="AY176" t="inlineStr">
        <is>
          <t>991002786099702656</t>
        </is>
      </c>
      <c r="AZ176" t="inlineStr">
        <is>
          <t>991002786099702656</t>
        </is>
      </c>
      <c r="BA176" t="inlineStr">
        <is>
          <t>2255810610002656</t>
        </is>
      </c>
      <c r="BB176" t="inlineStr">
        <is>
          <t>BOOK</t>
        </is>
      </c>
      <c r="BE176" t="inlineStr">
        <is>
          <t>32285000353135</t>
        </is>
      </c>
      <c r="BF176" t="inlineStr">
        <is>
          <t>893227279</t>
        </is>
      </c>
    </row>
    <row r="177">
      <c r="A177" t="inlineStr">
        <is>
          <t>No</t>
        </is>
      </c>
      <c r="B177" t="inlineStr">
        <is>
          <t>CURAL</t>
        </is>
      </c>
      <c r="C177" t="inlineStr">
        <is>
          <t>SHELVES</t>
        </is>
      </c>
      <c r="D177" t="inlineStr">
        <is>
          <t>BL2757 .T87 1985</t>
        </is>
      </c>
      <c r="E177" t="inlineStr">
        <is>
          <t>0                      BL 2757000T  87          1985</t>
        </is>
      </c>
      <c r="F177" t="inlineStr">
        <is>
          <t>Without God, without creed : the origins of unbelief in America / James Turner.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Turner, James, 1946-</t>
        </is>
      </c>
      <c r="N177" t="inlineStr">
        <is>
          <t>Baltimore : Johns Hopkins University Press, c1985.</t>
        </is>
      </c>
      <c r="O177" t="inlineStr">
        <is>
          <t>1985</t>
        </is>
      </c>
      <c r="Q177" t="inlineStr">
        <is>
          <t>eng</t>
        </is>
      </c>
      <c r="R177" t="inlineStr">
        <is>
          <t>mdu</t>
        </is>
      </c>
      <c r="T177" t="inlineStr">
        <is>
          <t xml:space="preserve">BL </t>
        </is>
      </c>
      <c r="U177" t="n">
        <v>2</v>
      </c>
      <c r="V177" t="n">
        <v>2</v>
      </c>
      <c r="W177" t="inlineStr">
        <is>
          <t>1997-04-09</t>
        </is>
      </c>
      <c r="X177" t="inlineStr">
        <is>
          <t>1997-04-09</t>
        </is>
      </c>
      <c r="Y177" t="inlineStr">
        <is>
          <t>1990-10-23</t>
        </is>
      </c>
      <c r="Z177" t="inlineStr">
        <is>
          <t>1990-10-23</t>
        </is>
      </c>
      <c r="AA177" t="n">
        <v>1462</v>
      </c>
      <c r="AB177" t="n">
        <v>1335</v>
      </c>
      <c r="AC177" t="n">
        <v>1407</v>
      </c>
      <c r="AD177" t="n">
        <v>11</v>
      </c>
      <c r="AE177" t="n">
        <v>13</v>
      </c>
      <c r="AF177" t="n">
        <v>51</v>
      </c>
      <c r="AG177" t="n">
        <v>54</v>
      </c>
      <c r="AH177" t="n">
        <v>20</v>
      </c>
      <c r="AI177" t="n">
        <v>20</v>
      </c>
      <c r="AJ177" t="n">
        <v>9</v>
      </c>
      <c r="AK177" t="n">
        <v>9</v>
      </c>
      <c r="AL177" t="n">
        <v>24</v>
      </c>
      <c r="AM177" t="n">
        <v>25</v>
      </c>
      <c r="AN177" t="n">
        <v>8</v>
      </c>
      <c r="AO177" t="n">
        <v>10</v>
      </c>
      <c r="AP177" t="n">
        <v>2</v>
      </c>
      <c r="AQ177" t="n">
        <v>2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HYPERLINK("http://catalog.hathitrust.org/Record/000338091","HathiTrust Record")</f>
        <v/>
      </c>
      <c r="AU177">
        <f>HYPERLINK("https://creighton-primo.hosted.exlibrisgroup.com/primo-explore/search?tab=default_tab&amp;search_scope=EVERYTHING&amp;vid=01CRU&amp;lang=en_US&amp;offset=0&amp;query=any,contains,991000462049702656","Catalog Record")</f>
        <v/>
      </c>
      <c r="AV177">
        <f>HYPERLINK("http://www.worldcat.org/oclc/10948348","WorldCat Record")</f>
        <v/>
      </c>
      <c r="AW177" t="inlineStr">
        <is>
          <t>3716223:eng</t>
        </is>
      </c>
      <c r="AX177" t="inlineStr">
        <is>
          <t>10948348</t>
        </is>
      </c>
      <c r="AY177" t="inlineStr">
        <is>
          <t>991000462049702656</t>
        </is>
      </c>
      <c r="AZ177" t="inlineStr">
        <is>
          <t>991000462049702656</t>
        </is>
      </c>
      <c r="BA177" t="inlineStr">
        <is>
          <t>2272668190002656</t>
        </is>
      </c>
      <c r="BB177" t="inlineStr">
        <is>
          <t>BOOK</t>
        </is>
      </c>
      <c r="BD177" t="inlineStr">
        <is>
          <t>9780801824944</t>
        </is>
      </c>
      <c r="BE177" t="inlineStr">
        <is>
          <t>32285000353143</t>
        </is>
      </c>
      <c r="BF177" t="inlineStr">
        <is>
          <t>893496249</t>
        </is>
      </c>
    </row>
    <row r="178">
      <c r="A178" t="inlineStr">
        <is>
          <t>No</t>
        </is>
      </c>
      <c r="B178" t="inlineStr">
        <is>
          <t>CURAL</t>
        </is>
      </c>
      <c r="C178" t="inlineStr">
        <is>
          <t>SHELVES</t>
        </is>
      </c>
      <c r="D178" t="inlineStr">
        <is>
          <t>BL2765.E85 C48</t>
        </is>
      </c>
      <c r="E178" t="inlineStr">
        <is>
          <t>0                      BL 2765000E  85                 C  48</t>
        </is>
      </c>
      <c r="F178" t="inlineStr">
        <is>
          <t>The secularization of the European mind in the nineteenth century : the Gifford lectures in the University of Edinburgh for 1973-4 / Owen Chadwick.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Chadwick, Owen.</t>
        </is>
      </c>
      <c r="N178" t="inlineStr">
        <is>
          <t>Cambridge [Eng.] ; New York : Cambridge University Press, 1975.</t>
        </is>
      </c>
      <c r="O178" t="inlineStr">
        <is>
          <t>1975</t>
        </is>
      </c>
      <c r="Q178" t="inlineStr">
        <is>
          <t>eng</t>
        </is>
      </c>
      <c r="R178" t="inlineStr">
        <is>
          <t>enk</t>
        </is>
      </c>
      <c r="S178" t="inlineStr">
        <is>
          <t>Gifford lectures ; 1973-74</t>
        </is>
      </c>
      <c r="T178" t="inlineStr">
        <is>
          <t xml:space="preserve">BL </t>
        </is>
      </c>
      <c r="U178" t="n">
        <v>3</v>
      </c>
      <c r="V178" t="n">
        <v>3</v>
      </c>
      <c r="W178" t="inlineStr">
        <is>
          <t>2002-05-29</t>
        </is>
      </c>
      <c r="X178" t="inlineStr">
        <is>
          <t>2002-05-29</t>
        </is>
      </c>
      <c r="Y178" t="inlineStr">
        <is>
          <t>1990-10-23</t>
        </is>
      </c>
      <c r="Z178" t="inlineStr">
        <is>
          <t>1990-10-23</t>
        </is>
      </c>
      <c r="AA178" t="n">
        <v>1062</v>
      </c>
      <c r="AB178" t="n">
        <v>834</v>
      </c>
      <c r="AC178" t="n">
        <v>838</v>
      </c>
      <c r="AD178" t="n">
        <v>8</v>
      </c>
      <c r="AE178" t="n">
        <v>8</v>
      </c>
      <c r="AF178" t="n">
        <v>45</v>
      </c>
      <c r="AG178" t="n">
        <v>45</v>
      </c>
      <c r="AH178" t="n">
        <v>16</v>
      </c>
      <c r="AI178" t="n">
        <v>16</v>
      </c>
      <c r="AJ178" t="n">
        <v>9</v>
      </c>
      <c r="AK178" t="n">
        <v>9</v>
      </c>
      <c r="AL178" t="n">
        <v>23</v>
      </c>
      <c r="AM178" t="n">
        <v>23</v>
      </c>
      <c r="AN178" t="n">
        <v>7</v>
      </c>
      <c r="AO178" t="n">
        <v>7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HYPERLINK("https://creighton-primo.hosted.exlibrisgroup.com/primo-explore/search?tab=default_tab&amp;search_scope=EVERYTHING&amp;vid=01CRU&amp;lang=en_US&amp;offset=0&amp;query=any,contains,991003984309702656","Catalog Record")</f>
        <v/>
      </c>
      <c r="AV178">
        <f>HYPERLINK("http://www.worldcat.org/oclc/2024832","WorldCat Record")</f>
        <v/>
      </c>
      <c r="AW178" t="inlineStr">
        <is>
          <t>10677932771:eng</t>
        </is>
      </c>
      <c r="AX178" t="inlineStr">
        <is>
          <t>2024832</t>
        </is>
      </c>
      <c r="AY178" t="inlineStr">
        <is>
          <t>991003984309702656</t>
        </is>
      </c>
      <c r="AZ178" t="inlineStr">
        <is>
          <t>991003984309702656</t>
        </is>
      </c>
      <c r="BA178" t="inlineStr">
        <is>
          <t>2264665390002656</t>
        </is>
      </c>
      <c r="BB178" t="inlineStr">
        <is>
          <t>BOOK</t>
        </is>
      </c>
      <c r="BD178" t="inlineStr">
        <is>
          <t>9780521208925</t>
        </is>
      </c>
      <c r="BE178" t="inlineStr">
        <is>
          <t>32285000353184</t>
        </is>
      </c>
      <c r="BF178" t="inlineStr">
        <is>
          <t>893904653</t>
        </is>
      </c>
    </row>
    <row r="179">
      <c r="A179" t="inlineStr">
        <is>
          <t>No</t>
        </is>
      </c>
      <c r="B179" t="inlineStr">
        <is>
          <t>CURAL</t>
        </is>
      </c>
      <c r="C179" t="inlineStr">
        <is>
          <t>SHELVES</t>
        </is>
      </c>
      <c r="D179" t="inlineStr">
        <is>
          <t>BL2765.G7 B47 1988</t>
        </is>
      </c>
      <c r="E179" t="inlineStr">
        <is>
          <t>0                      BL 2765000G  7                  B  47          1988</t>
        </is>
      </c>
      <c r="F179" t="inlineStr">
        <is>
          <t>A history of atheism in Britain : from Hobbes to Russell / David Berman.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Berman, David, 1942-</t>
        </is>
      </c>
      <c r="N179" t="inlineStr">
        <is>
          <t>London ; New York : Croom Helm, c1988.</t>
        </is>
      </c>
      <c r="O179" t="inlineStr">
        <is>
          <t>1988</t>
        </is>
      </c>
      <c r="Q179" t="inlineStr">
        <is>
          <t>eng</t>
        </is>
      </c>
      <c r="R179" t="inlineStr">
        <is>
          <t>enk</t>
        </is>
      </c>
      <c r="T179" t="inlineStr">
        <is>
          <t xml:space="preserve">BL </t>
        </is>
      </c>
      <c r="U179" t="n">
        <v>4</v>
      </c>
      <c r="V179" t="n">
        <v>4</v>
      </c>
      <c r="W179" t="inlineStr">
        <is>
          <t>1995-05-25</t>
        </is>
      </c>
      <c r="X179" t="inlineStr">
        <is>
          <t>1995-05-25</t>
        </is>
      </c>
      <c r="Y179" t="inlineStr">
        <is>
          <t>1990-10-23</t>
        </is>
      </c>
      <c r="Z179" t="inlineStr">
        <is>
          <t>1990-10-23</t>
        </is>
      </c>
      <c r="AA179" t="n">
        <v>311</v>
      </c>
      <c r="AB179" t="n">
        <v>195</v>
      </c>
      <c r="AC179" t="n">
        <v>591</v>
      </c>
      <c r="AD179" t="n">
        <v>2</v>
      </c>
      <c r="AE179" t="n">
        <v>6</v>
      </c>
      <c r="AF179" t="n">
        <v>10</v>
      </c>
      <c r="AG179" t="n">
        <v>29</v>
      </c>
      <c r="AH179" t="n">
        <v>3</v>
      </c>
      <c r="AI179" t="n">
        <v>10</v>
      </c>
      <c r="AJ179" t="n">
        <v>3</v>
      </c>
      <c r="AK179" t="n">
        <v>7</v>
      </c>
      <c r="AL179" t="n">
        <v>8</v>
      </c>
      <c r="AM179" t="n">
        <v>12</v>
      </c>
      <c r="AN179" t="n">
        <v>1</v>
      </c>
      <c r="AO179" t="n">
        <v>5</v>
      </c>
      <c r="AP179" t="n">
        <v>0</v>
      </c>
      <c r="AQ179" t="n">
        <v>1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HYPERLINK("http://catalog.hathitrust.org/Record/000873864","HathiTrust Record")</f>
        <v/>
      </c>
      <c r="AU179">
        <f>HYPERLINK("https://creighton-primo.hosted.exlibrisgroup.com/primo-explore/search?tab=default_tab&amp;search_scope=EVERYTHING&amp;vid=01CRU&amp;lang=en_US&amp;offset=0&amp;query=any,contains,991001119039702656","Catalog Record")</f>
        <v/>
      </c>
      <c r="AV179">
        <f>HYPERLINK("http://www.worldcat.org/oclc/16578098","WorldCat Record")</f>
        <v/>
      </c>
      <c r="AW179" t="inlineStr">
        <is>
          <t>363915655:eng</t>
        </is>
      </c>
      <c r="AX179" t="inlineStr">
        <is>
          <t>16578098</t>
        </is>
      </c>
      <c r="AY179" t="inlineStr">
        <is>
          <t>991001119039702656</t>
        </is>
      </c>
      <c r="AZ179" t="inlineStr">
        <is>
          <t>991001119039702656</t>
        </is>
      </c>
      <c r="BA179" t="inlineStr">
        <is>
          <t>2272033330002656</t>
        </is>
      </c>
      <c r="BB179" t="inlineStr">
        <is>
          <t>BOOK</t>
        </is>
      </c>
      <c r="BD179" t="inlineStr">
        <is>
          <t>9780709932710</t>
        </is>
      </c>
      <c r="BE179" t="inlineStr">
        <is>
          <t>32285000353200</t>
        </is>
      </c>
      <c r="BF179" t="inlineStr">
        <is>
          <t>893885055</t>
        </is>
      </c>
    </row>
    <row r="180">
      <c r="A180" t="inlineStr">
        <is>
          <t>No</t>
        </is>
      </c>
      <c r="B180" t="inlineStr">
        <is>
          <t>CURAL</t>
        </is>
      </c>
      <c r="C180" t="inlineStr">
        <is>
          <t>SHELVES</t>
        </is>
      </c>
      <c r="D180" t="inlineStr">
        <is>
          <t>BL2765.G7 O7</t>
        </is>
      </c>
      <c r="E180" t="inlineStr">
        <is>
          <t>0                      BL 2765000G  7                  O  7</t>
        </is>
      </c>
      <c r="F180" t="inlineStr">
        <is>
          <t>English deism, its roots and its fruits.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Orr, John, 1884-</t>
        </is>
      </c>
      <c r="N180" t="inlineStr">
        <is>
          <t>Grand Rapids, Mich., Eerdmans, 1934.</t>
        </is>
      </c>
      <c r="O180" t="inlineStr">
        <is>
          <t>1934</t>
        </is>
      </c>
      <c r="Q180" t="inlineStr">
        <is>
          <t>eng</t>
        </is>
      </c>
      <c r="R180" t="inlineStr">
        <is>
          <t>___</t>
        </is>
      </c>
      <c r="T180" t="inlineStr">
        <is>
          <t xml:space="preserve">BL </t>
        </is>
      </c>
      <c r="U180" t="n">
        <v>3</v>
      </c>
      <c r="V180" t="n">
        <v>3</v>
      </c>
      <c r="W180" t="inlineStr">
        <is>
          <t>2008-10-17</t>
        </is>
      </c>
      <c r="X180" t="inlineStr">
        <is>
          <t>2008-10-17</t>
        </is>
      </c>
      <c r="Y180" t="inlineStr">
        <is>
          <t>1990-10-23</t>
        </is>
      </c>
      <c r="Z180" t="inlineStr">
        <is>
          <t>1990-10-23</t>
        </is>
      </c>
      <c r="AA180" t="n">
        <v>213</v>
      </c>
      <c r="AB180" t="n">
        <v>190</v>
      </c>
      <c r="AC180" t="n">
        <v>198</v>
      </c>
      <c r="AD180" t="n">
        <v>1</v>
      </c>
      <c r="AE180" t="n">
        <v>1</v>
      </c>
      <c r="AF180" t="n">
        <v>6</v>
      </c>
      <c r="AG180" t="n">
        <v>6</v>
      </c>
      <c r="AH180" t="n">
        <v>3</v>
      </c>
      <c r="AI180" t="n">
        <v>3</v>
      </c>
      <c r="AJ180" t="n">
        <v>0</v>
      </c>
      <c r="AK180" t="n">
        <v>0</v>
      </c>
      <c r="AL180" t="n">
        <v>3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Yes</t>
        </is>
      </c>
      <c r="AS180" t="inlineStr">
        <is>
          <t>No</t>
        </is>
      </c>
      <c r="AT180">
        <f>HYPERLINK("http://catalog.hathitrust.org/Record/003200687","HathiTrust Record")</f>
        <v/>
      </c>
      <c r="AU180">
        <f>HYPERLINK("https://creighton-primo.hosted.exlibrisgroup.com/primo-explore/search?tab=default_tab&amp;search_scope=EVERYTHING&amp;vid=01CRU&amp;lang=en_US&amp;offset=0&amp;query=any,contains,991003152679702656","Catalog Record")</f>
        <v/>
      </c>
      <c r="AV180">
        <f>HYPERLINK("http://www.worldcat.org/oclc/691855","WorldCat Record")</f>
        <v/>
      </c>
      <c r="AW180" t="inlineStr">
        <is>
          <t>1788183:eng</t>
        </is>
      </c>
      <c r="AX180" t="inlineStr">
        <is>
          <t>691855</t>
        </is>
      </c>
      <c r="AY180" t="inlineStr">
        <is>
          <t>991003152679702656</t>
        </is>
      </c>
      <c r="AZ180" t="inlineStr">
        <is>
          <t>991003152679702656</t>
        </is>
      </c>
      <c r="BA180" t="inlineStr">
        <is>
          <t>2260208790002656</t>
        </is>
      </c>
      <c r="BB180" t="inlineStr">
        <is>
          <t>BOOK</t>
        </is>
      </c>
      <c r="BE180" t="inlineStr">
        <is>
          <t>32285000353218</t>
        </is>
      </c>
      <c r="BF180" t="inlineStr">
        <is>
          <t>893793367</t>
        </is>
      </c>
    </row>
    <row r="181">
      <c r="A181" t="inlineStr">
        <is>
          <t>No</t>
        </is>
      </c>
      <c r="B181" t="inlineStr">
        <is>
          <t>CURAL</t>
        </is>
      </c>
      <c r="C181" t="inlineStr">
        <is>
          <t>SHELVES</t>
        </is>
      </c>
      <c r="D181" t="inlineStr">
        <is>
          <t>BL2765.S65 P67 1987, v.1</t>
        </is>
      </c>
      <c r="E181" t="inlineStr">
        <is>
          <t>0                      BL 2765000S  65                 P  67          1987                  v.1</t>
        </is>
      </c>
      <c r="F181" t="inlineStr">
        <is>
          <t>A history of Marxist-Leninist atheism and Soviet antireligious policies / Dimitry V. Pospielovsky.</t>
        </is>
      </c>
      <c r="G181" t="inlineStr">
        <is>
          <t>V.1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Pospielovsky, Dimitry, 1935-2014.</t>
        </is>
      </c>
      <c r="N181" t="inlineStr">
        <is>
          <t>New York : St Martin's Press, 1987.</t>
        </is>
      </c>
      <c r="O181" t="inlineStr">
        <is>
          <t>1987</t>
        </is>
      </c>
      <c r="Q181" t="inlineStr">
        <is>
          <t>eng</t>
        </is>
      </c>
      <c r="R181" t="inlineStr">
        <is>
          <t>nyu</t>
        </is>
      </c>
      <c r="S181" t="inlineStr">
        <is>
          <t>A History of Soviet atheism in theory and practice, and the believer ; v. 1</t>
        </is>
      </c>
      <c r="T181" t="inlineStr">
        <is>
          <t xml:space="preserve">BL </t>
        </is>
      </c>
      <c r="U181" t="n">
        <v>1</v>
      </c>
      <c r="V181" t="n">
        <v>1</v>
      </c>
      <c r="W181" t="inlineStr">
        <is>
          <t>2003-11-03</t>
        </is>
      </c>
      <c r="X181" t="inlineStr">
        <is>
          <t>2003-11-03</t>
        </is>
      </c>
      <c r="Y181" t="inlineStr">
        <is>
          <t>1990-04-20</t>
        </is>
      </c>
      <c r="Z181" t="inlineStr">
        <is>
          <t>1990-04-20</t>
        </is>
      </c>
      <c r="AA181" t="n">
        <v>245</v>
      </c>
      <c r="AB181" t="n">
        <v>220</v>
      </c>
      <c r="AC181" t="n">
        <v>253</v>
      </c>
      <c r="AD181" t="n">
        <v>4</v>
      </c>
      <c r="AE181" t="n">
        <v>4</v>
      </c>
      <c r="AF181" t="n">
        <v>16</v>
      </c>
      <c r="AG181" t="n">
        <v>17</v>
      </c>
      <c r="AH181" t="n">
        <v>6</v>
      </c>
      <c r="AI181" t="n">
        <v>6</v>
      </c>
      <c r="AJ181" t="n">
        <v>3</v>
      </c>
      <c r="AK181" t="n">
        <v>4</v>
      </c>
      <c r="AL181" t="n">
        <v>6</v>
      </c>
      <c r="AM181" t="n">
        <v>7</v>
      </c>
      <c r="AN181" t="n">
        <v>3</v>
      </c>
      <c r="AO181" t="n">
        <v>3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HYPERLINK("https://creighton-primo.hosted.exlibrisgroup.com/primo-explore/search?tab=default_tab&amp;search_scope=EVERYTHING&amp;vid=01CRU&amp;lang=en_US&amp;offset=0&amp;query=any,contains,991000923089702656","Catalog Record")</f>
        <v/>
      </c>
      <c r="AV181">
        <f>HYPERLINK("http://www.worldcat.org/oclc/14214662","WorldCat Record")</f>
        <v/>
      </c>
      <c r="AW181" t="inlineStr">
        <is>
          <t>5609065804:eng</t>
        </is>
      </c>
      <c r="AX181" t="inlineStr">
        <is>
          <t>14214662</t>
        </is>
      </c>
      <c r="AY181" t="inlineStr">
        <is>
          <t>991000923089702656</t>
        </is>
      </c>
      <c r="AZ181" t="inlineStr">
        <is>
          <t>991000923089702656</t>
        </is>
      </c>
      <c r="BA181" t="inlineStr">
        <is>
          <t>2267466630002656</t>
        </is>
      </c>
      <c r="BB181" t="inlineStr">
        <is>
          <t>BOOK</t>
        </is>
      </c>
      <c r="BD181" t="inlineStr">
        <is>
          <t>9780312381332</t>
        </is>
      </c>
      <c r="BE181" t="inlineStr">
        <is>
          <t>32285000104165</t>
        </is>
      </c>
      <c r="BF181" t="inlineStr">
        <is>
          <t>893878464</t>
        </is>
      </c>
    </row>
    <row r="182">
      <c r="A182" t="inlineStr">
        <is>
          <t>No</t>
        </is>
      </c>
      <c r="B182" t="inlineStr">
        <is>
          <t>CURAL</t>
        </is>
      </c>
      <c r="C182" t="inlineStr">
        <is>
          <t>SHELVES</t>
        </is>
      </c>
      <c r="D182" t="inlineStr">
        <is>
          <t>BL2773 .H42</t>
        </is>
      </c>
      <c r="E182" t="inlineStr">
        <is>
          <t>0                      BL 2773000H  42</t>
        </is>
      </c>
      <c r="F182" t="inlineStr">
        <is>
          <t>Lord Herbert of Cherbury's De religione laici, edited and translated with a critical discussion of his life and philosophy and a comprehensive bibliography of his works, by Harold R. Hutcheson.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Herbert of Cherbury, Edward Herbert, Baron, 1583-1648.</t>
        </is>
      </c>
      <c r="N182" t="inlineStr">
        <is>
          <t>New Haven, Yale University Press; London, H. Milford, Oxford University Press, 1944.</t>
        </is>
      </c>
      <c r="O182" t="inlineStr">
        <is>
          <t>1944</t>
        </is>
      </c>
      <c r="Q182" t="inlineStr">
        <is>
          <t>eng</t>
        </is>
      </c>
      <c r="R182" t="inlineStr">
        <is>
          <t>___</t>
        </is>
      </c>
      <c r="S182" t="inlineStr">
        <is>
          <t>Yale studies in English ; v.98</t>
        </is>
      </c>
      <c r="T182" t="inlineStr">
        <is>
          <t xml:space="preserve">BL </t>
        </is>
      </c>
      <c r="U182" t="n">
        <v>2</v>
      </c>
      <c r="V182" t="n">
        <v>2</v>
      </c>
      <c r="W182" t="inlineStr">
        <is>
          <t>1997-08-18</t>
        </is>
      </c>
      <c r="X182" t="inlineStr">
        <is>
          <t>1997-08-18</t>
        </is>
      </c>
      <c r="Y182" t="inlineStr">
        <is>
          <t>1990-10-23</t>
        </is>
      </c>
      <c r="Z182" t="inlineStr">
        <is>
          <t>1990-10-23</t>
        </is>
      </c>
      <c r="AA182" t="n">
        <v>248</v>
      </c>
      <c r="AB182" t="n">
        <v>209</v>
      </c>
      <c r="AC182" t="n">
        <v>220</v>
      </c>
      <c r="AD182" t="n">
        <v>3</v>
      </c>
      <c r="AE182" t="n">
        <v>3</v>
      </c>
      <c r="AF182" t="n">
        <v>9</v>
      </c>
      <c r="AG182" t="n">
        <v>11</v>
      </c>
      <c r="AH182" t="n">
        <v>2</v>
      </c>
      <c r="AI182" t="n">
        <v>3</v>
      </c>
      <c r="AJ182" t="n">
        <v>2</v>
      </c>
      <c r="AK182" t="n">
        <v>3</v>
      </c>
      <c r="AL182" t="n">
        <v>4</v>
      </c>
      <c r="AM182" t="n">
        <v>5</v>
      </c>
      <c r="AN182" t="n">
        <v>2</v>
      </c>
      <c r="AO182" t="n">
        <v>2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HYPERLINK("http://catalog.hathitrust.org/Record/001383676","HathiTrust Record")</f>
        <v/>
      </c>
      <c r="AU182">
        <f>HYPERLINK("https://creighton-primo.hosted.exlibrisgroup.com/primo-explore/search?tab=default_tab&amp;search_scope=EVERYTHING&amp;vid=01CRU&amp;lang=en_US&amp;offset=0&amp;query=any,contains,991003146069702656","Catalog Record")</f>
        <v/>
      </c>
      <c r="AV182">
        <f>HYPERLINK("http://www.worldcat.org/oclc/686380","WorldCat Record")</f>
        <v/>
      </c>
      <c r="AW182" t="inlineStr">
        <is>
          <t>1769365:eng</t>
        </is>
      </c>
      <c r="AX182" t="inlineStr">
        <is>
          <t>686380</t>
        </is>
      </c>
      <c r="AY182" t="inlineStr">
        <is>
          <t>991003146069702656</t>
        </is>
      </c>
      <c r="AZ182" t="inlineStr">
        <is>
          <t>991003146069702656</t>
        </is>
      </c>
      <c r="BA182" t="inlineStr">
        <is>
          <t>2265049420002656</t>
        </is>
      </c>
      <c r="BB182" t="inlineStr">
        <is>
          <t>BOOK</t>
        </is>
      </c>
      <c r="BE182" t="inlineStr">
        <is>
          <t>32285000353242</t>
        </is>
      </c>
      <c r="BF182" t="inlineStr">
        <is>
          <t>893893422</t>
        </is>
      </c>
    </row>
    <row r="183">
      <c r="A183" t="inlineStr">
        <is>
          <t>No</t>
        </is>
      </c>
      <c r="B183" t="inlineStr">
        <is>
          <t>CURAL</t>
        </is>
      </c>
      <c r="C183" t="inlineStr">
        <is>
          <t>SHELVES</t>
        </is>
      </c>
      <c r="D183" t="inlineStr">
        <is>
          <t>BL2773 .R413</t>
        </is>
      </c>
      <c r="E183" t="inlineStr">
        <is>
          <t>0                      BL 2773000R  413</t>
        </is>
      </c>
      <c r="F183" t="inlineStr">
        <is>
          <t>The goal of Jesus and his disciples. Introd. and translation by George Wesley Buchanan.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Reimarus, Hermann Samuel, 1694-1768.</t>
        </is>
      </c>
      <c r="N183" t="inlineStr">
        <is>
          <t>Leiden, E. J. Brill, 1970.</t>
        </is>
      </c>
      <c r="O183" t="inlineStr">
        <is>
          <t>1970</t>
        </is>
      </c>
      <c r="Q183" t="inlineStr">
        <is>
          <t>eng</t>
        </is>
      </c>
      <c r="R183" t="inlineStr">
        <is>
          <t xml:space="preserve">ne </t>
        </is>
      </c>
      <c r="T183" t="inlineStr">
        <is>
          <t xml:space="preserve">BL </t>
        </is>
      </c>
      <c r="U183" t="n">
        <v>5</v>
      </c>
      <c r="V183" t="n">
        <v>5</v>
      </c>
      <c r="W183" t="inlineStr">
        <is>
          <t>2000-09-14</t>
        </is>
      </c>
      <c r="X183" t="inlineStr">
        <is>
          <t>2000-09-14</t>
        </is>
      </c>
      <c r="Y183" t="inlineStr">
        <is>
          <t>1990-10-23</t>
        </is>
      </c>
      <c r="Z183" t="inlineStr">
        <is>
          <t>1990-10-23</t>
        </is>
      </c>
      <c r="AA183" t="n">
        <v>313</v>
      </c>
      <c r="AB183" t="n">
        <v>248</v>
      </c>
      <c r="AC183" t="n">
        <v>305</v>
      </c>
      <c r="AD183" t="n">
        <v>3</v>
      </c>
      <c r="AE183" t="n">
        <v>3</v>
      </c>
      <c r="AF183" t="n">
        <v>17</v>
      </c>
      <c r="AG183" t="n">
        <v>18</v>
      </c>
      <c r="AH183" t="n">
        <v>5</v>
      </c>
      <c r="AI183" t="n">
        <v>6</v>
      </c>
      <c r="AJ183" t="n">
        <v>4</v>
      </c>
      <c r="AK183" t="n">
        <v>4</v>
      </c>
      <c r="AL183" t="n">
        <v>10</v>
      </c>
      <c r="AM183" t="n">
        <v>10</v>
      </c>
      <c r="AN183" t="n">
        <v>1</v>
      </c>
      <c r="AO183" t="n">
        <v>1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HYPERLINK("http://catalog.hathitrust.org/Record/001401529","HathiTrust Record")</f>
        <v/>
      </c>
      <c r="AU183">
        <f>HYPERLINK("https://creighton-primo.hosted.exlibrisgroup.com/primo-explore/search?tab=default_tab&amp;search_scope=EVERYTHING&amp;vid=01CRU&amp;lang=en_US&amp;offset=0&amp;query=any,contains,991000818889702656","Catalog Record")</f>
        <v/>
      </c>
      <c r="AV183">
        <f>HYPERLINK("http://www.worldcat.org/oclc/143823","WorldCat Record")</f>
        <v/>
      </c>
      <c r="AW183" t="inlineStr">
        <is>
          <t>10677795405:eng</t>
        </is>
      </c>
      <c r="AX183" t="inlineStr">
        <is>
          <t>143823</t>
        </is>
      </c>
      <c r="AY183" t="inlineStr">
        <is>
          <t>991000818889702656</t>
        </is>
      </c>
      <c r="AZ183" t="inlineStr">
        <is>
          <t>991000818889702656</t>
        </is>
      </c>
      <c r="BA183" t="inlineStr">
        <is>
          <t>2256714130002656</t>
        </is>
      </c>
      <c r="BB183" t="inlineStr">
        <is>
          <t>BOOK</t>
        </is>
      </c>
      <c r="BE183" t="inlineStr">
        <is>
          <t>32285000353259</t>
        </is>
      </c>
      <c r="BF183" t="inlineStr">
        <is>
          <t>893444475</t>
        </is>
      </c>
    </row>
    <row r="184">
      <c r="A184" t="inlineStr">
        <is>
          <t>No</t>
        </is>
      </c>
      <c r="B184" t="inlineStr">
        <is>
          <t>CURAL</t>
        </is>
      </c>
      <c r="C184" t="inlineStr">
        <is>
          <t>SHELVES</t>
        </is>
      </c>
      <c r="D184" t="inlineStr">
        <is>
          <t>BL2773 .S4 1966</t>
        </is>
      </c>
      <c r="E184" t="inlineStr">
        <is>
          <t>0                      BL 2773000S  4           1966</t>
        </is>
      </c>
      <c r="F184" t="inlineStr">
        <is>
          <t>Christianismi restitvtio. Totius ecclesiæ apostolicæ est ad sua limina vocatio, in integrum restituta cognitione Dei, fidei Christi, iustificationis nostræ, regenerationis baptismi, et cœnæ domini manducationis / Restituto denique nobis regno cœlesti, Babylonis impiæ captiuitate soluta, et Antichristo cum suis penitus destructo. [Vienne, B. Arnollat] 1553. [Unveränderter Nachdruck.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Servetus, Michael, 1511?-1553.</t>
        </is>
      </c>
      <c r="N184" t="inlineStr">
        <is>
          <t>Frankfurt a. M., Minerva, 1966]</t>
        </is>
      </c>
      <c r="O184" t="inlineStr">
        <is>
          <t>1966</t>
        </is>
      </c>
      <c r="Q184" t="inlineStr">
        <is>
          <t>lat</t>
        </is>
      </c>
      <c r="R184" t="inlineStr">
        <is>
          <t>___</t>
        </is>
      </c>
      <c r="T184" t="inlineStr">
        <is>
          <t xml:space="preserve">BL </t>
        </is>
      </c>
      <c r="U184" t="n">
        <v>3</v>
      </c>
      <c r="V184" t="n">
        <v>3</v>
      </c>
      <c r="W184" t="inlineStr">
        <is>
          <t>1994-05-18</t>
        </is>
      </c>
      <c r="X184" t="inlineStr">
        <is>
          <t>1994-05-18</t>
        </is>
      </c>
      <c r="Y184" t="inlineStr">
        <is>
          <t>1990-10-23</t>
        </is>
      </c>
      <c r="Z184" t="inlineStr">
        <is>
          <t>1990-10-23</t>
        </is>
      </c>
      <c r="AA184" t="n">
        <v>81</v>
      </c>
      <c r="AB184" t="n">
        <v>71</v>
      </c>
      <c r="AC184" t="n">
        <v>72</v>
      </c>
      <c r="AD184" t="n">
        <v>2</v>
      </c>
      <c r="AE184" t="n">
        <v>2</v>
      </c>
      <c r="AF184" t="n">
        <v>5</v>
      </c>
      <c r="AG184" t="n">
        <v>5</v>
      </c>
      <c r="AH184" t="n">
        <v>0</v>
      </c>
      <c r="AI184" t="n">
        <v>0</v>
      </c>
      <c r="AJ184" t="n">
        <v>1</v>
      </c>
      <c r="AK184" t="n">
        <v>1</v>
      </c>
      <c r="AL184" t="n">
        <v>4</v>
      </c>
      <c r="AM184" t="n">
        <v>4</v>
      </c>
      <c r="AN184" t="n">
        <v>1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HYPERLINK("https://creighton-primo.hosted.exlibrisgroup.com/primo-explore/search?tab=default_tab&amp;search_scope=EVERYTHING&amp;vid=01CRU&amp;lang=en_US&amp;offset=0&amp;query=any,contains,991003191319702656","Catalog Record")</f>
        <v/>
      </c>
      <c r="AV184">
        <f>HYPERLINK("http://www.worldcat.org/oclc/716534","WorldCat Record")</f>
        <v/>
      </c>
      <c r="AW184" t="inlineStr">
        <is>
          <t>10076076180:lat</t>
        </is>
      </c>
      <c r="AX184" t="inlineStr">
        <is>
          <t>716534</t>
        </is>
      </c>
      <c r="AY184" t="inlineStr">
        <is>
          <t>991003191319702656</t>
        </is>
      </c>
      <c r="AZ184" t="inlineStr">
        <is>
          <t>991003191319702656</t>
        </is>
      </c>
      <c r="BA184" t="inlineStr">
        <is>
          <t>2259477430002656</t>
        </is>
      </c>
      <c r="BB184" t="inlineStr">
        <is>
          <t>BOOK</t>
        </is>
      </c>
      <c r="BE184" t="inlineStr">
        <is>
          <t>32285000353267</t>
        </is>
      </c>
      <c r="BF184" t="inlineStr">
        <is>
          <t>893252128</t>
        </is>
      </c>
    </row>
    <row r="185">
      <c r="A185" t="inlineStr">
        <is>
          <t>No</t>
        </is>
      </c>
      <c r="B185" t="inlineStr">
        <is>
          <t>CURAL</t>
        </is>
      </c>
      <c r="C185" t="inlineStr">
        <is>
          <t>SHELVES</t>
        </is>
      </c>
      <c r="D185" t="inlineStr">
        <is>
          <t>BL2775 .M3983 1964</t>
        </is>
      </c>
      <c r="E185" t="inlineStr">
        <is>
          <t>0                      BL 2775000M  3983        1964</t>
        </is>
      </c>
      <c r="F185" t="inlineStr">
        <is>
          <t>On religion [by] Karl Marx and Friedrich Engels. Introd. by Reinhold Niebuhr.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Marx, Karl, 1818-1883.</t>
        </is>
      </c>
      <c r="N185" t="inlineStr">
        <is>
          <t>New York, Schocken Books [1964]</t>
        </is>
      </c>
      <c r="O185" t="inlineStr">
        <is>
          <t>1964</t>
        </is>
      </c>
      <c r="Q185" t="inlineStr">
        <is>
          <t>eng</t>
        </is>
      </c>
      <c r="R185" t="inlineStr">
        <is>
          <t>nyu</t>
        </is>
      </c>
      <c r="S185" t="inlineStr">
        <is>
          <t>Schocken paperbacks</t>
        </is>
      </c>
      <c r="T185" t="inlineStr">
        <is>
          <t xml:space="preserve">BL </t>
        </is>
      </c>
      <c r="U185" t="n">
        <v>2</v>
      </c>
      <c r="V185" t="n">
        <v>2</v>
      </c>
      <c r="W185" t="inlineStr">
        <is>
          <t>2007-11-20</t>
        </is>
      </c>
      <c r="X185" t="inlineStr">
        <is>
          <t>2007-11-20</t>
        </is>
      </c>
      <c r="Y185" t="inlineStr">
        <is>
          <t>1990-04-25</t>
        </is>
      </c>
      <c r="Z185" t="inlineStr">
        <is>
          <t>1990-04-25</t>
        </is>
      </c>
      <c r="AA185" t="n">
        <v>917</v>
      </c>
      <c r="AB185" t="n">
        <v>836</v>
      </c>
      <c r="AC185" t="n">
        <v>1088</v>
      </c>
      <c r="AD185" t="n">
        <v>5</v>
      </c>
      <c r="AE185" t="n">
        <v>6</v>
      </c>
      <c r="AF185" t="n">
        <v>43</v>
      </c>
      <c r="AG185" t="n">
        <v>50</v>
      </c>
      <c r="AH185" t="n">
        <v>19</v>
      </c>
      <c r="AI185" t="n">
        <v>23</v>
      </c>
      <c r="AJ185" t="n">
        <v>9</v>
      </c>
      <c r="AK185" t="n">
        <v>11</v>
      </c>
      <c r="AL185" t="n">
        <v>25</v>
      </c>
      <c r="AM185" t="n">
        <v>26</v>
      </c>
      <c r="AN185" t="n">
        <v>3</v>
      </c>
      <c r="AO185" t="n">
        <v>4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HYPERLINK("http://catalog.hathitrust.org/Record/000003675","HathiTrust Record")</f>
        <v/>
      </c>
      <c r="AU185">
        <f>HYPERLINK("https://creighton-primo.hosted.exlibrisgroup.com/primo-explore/search?tab=default_tab&amp;search_scope=EVERYTHING&amp;vid=01CRU&amp;lang=en_US&amp;offset=0&amp;query=any,contains,991001989389702656","Catalog Record")</f>
        <v/>
      </c>
      <c r="AV185">
        <f>HYPERLINK("http://www.worldcat.org/oclc/254928","WorldCat Record")</f>
        <v/>
      </c>
      <c r="AW185" t="inlineStr">
        <is>
          <t>232635271:eng</t>
        </is>
      </c>
      <c r="AX185" t="inlineStr">
        <is>
          <t>254928</t>
        </is>
      </c>
      <c r="AY185" t="inlineStr">
        <is>
          <t>991001989389702656</t>
        </is>
      </c>
      <c r="AZ185" t="inlineStr">
        <is>
          <t>991001989389702656</t>
        </is>
      </c>
      <c r="BA185" t="inlineStr">
        <is>
          <t>2269379250002656</t>
        </is>
      </c>
      <c r="BB185" t="inlineStr">
        <is>
          <t>BOOK</t>
        </is>
      </c>
      <c r="BE185" t="inlineStr">
        <is>
          <t>32285000131721</t>
        </is>
      </c>
      <c r="BF185" t="inlineStr">
        <is>
          <t>893316239</t>
        </is>
      </c>
    </row>
    <row r="186">
      <c r="A186" t="inlineStr">
        <is>
          <t>No</t>
        </is>
      </c>
      <c r="B186" t="inlineStr">
        <is>
          <t>CURAL</t>
        </is>
      </c>
      <c r="C186" t="inlineStr">
        <is>
          <t>SHELVES</t>
        </is>
      </c>
      <c r="D186" t="inlineStr">
        <is>
          <t>BL303 .T75 1970</t>
        </is>
      </c>
      <c r="E186" t="inlineStr">
        <is>
          <t>0                      BL 0303000T  75          1970</t>
        </is>
      </c>
      <c r="F186" t="inlineStr">
        <is>
          <t>Crowell's handbook of classical mythology.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Tripp, Edward.</t>
        </is>
      </c>
      <c r="N186" t="inlineStr">
        <is>
          <t>New York, Crowell [1970]</t>
        </is>
      </c>
      <c r="O186" t="inlineStr">
        <is>
          <t>1970</t>
        </is>
      </c>
      <c r="Q186" t="inlineStr">
        <is>
          <t>eng</t>
        </is>
      </c>
      <c r="R186" t="inlineStr">
        <is>
          <t>nyu</t>
        </is>
      </c>
      <c r="S186" t="inlineStr">
        <is>
          <t>A Crowell reference book</t>
        </is>
      </c>
      <c r="T186" t="inlineStr">
        <is>
          <t xml:space="preserve">BL </t>
        </is>
      </c>
      <c r="U186" t="n">
        <v>3</v>
      </c>
      <c r="V186" t="n">
        <v>3</v>
      </c>
      <c r="W186" t="inlineStr">
        <is>
          <t>2002-04-25</t>
        </is>
      </c>
      <c r="X186" t="inlineStr">
        <is>
          <t>2002-04-25</t>
        </is>
      </c>
      <c r="Y186" t="inlineStr">
        <is>
          <t>1998-04-27</t>
        </is>
      </c>
      <c r="Z186" t="inlineStr">
        <is>
          <t>1998-04-27</t>
        </is>
      </c>
      <c r="AA186" t="n">
        <v>1526</v>
      </c>
      <c r="AB186" t="n">
        <v>1409</v>
      </c>
      <c r="AC186" t="n">
        <v>1415</v>
      </c>
      <c r="AD186" t="n">
        <v>12</v>
      </c>
      <c r="AE186" t="n">
        <v>12</v>
      </c>
      <c r="AF186" t="n">
        <v>33</v>
      </c>
      <c r="AG186" t="n">
        <v>33</v>
      </c>
      <c r="AH186" t="n">
        <v>12</v>
      </c>
      <c r="AI186" t="n">
        <v>12</v>
      </c>
      <c r="AJ186" t="n">
        <v>6</v>
      </c>
      <c r="AK186" t="n">
        <v>6</v>
      </c>
      <c r="AL186" t="n">
        <v>16</v>
      </c>
      <c r="AM186" t="n">
        <v>16</v>
      </c>
      <c r="AN186" t="n">
        <v>6</v>
      </c>
      <c r="AO186" t="n">
        <v>6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HYPERLINK("http://catalog.hathitrust.org/Record/001392069","HathiTrust Record")</f>
        <v/>
      </c>
      <c r="AU186">
        <f>HYPERLINK("https://creighton-primo.hosted.exlibrisgroup.com/primo-explore/search?tab=default_tab&amp;search_scope=EVERYTHING&amp;vid=01CRU&amp;lang=en_US&amp;offset=0&amp;query=any,contains,991001064319702656","Catalog Record")</f>
        <v/>
      </c>
      <c r="AV186">
        <f>HYPERLINK("http://www.worldcat.org/oclc/98926","WorldCat Record")</f>
        <v/>
      </c>
      <c r="AW186" t="inlineStr">
        <is>
          <t>3901254981:eng</t>
        </is>
      </c>
      <c r="AX186" t="inlineStr">
        <is>
          <t>98926</t>
        </is>
      </c>
      <c r="AY186" t="inlineStr">
        <is>
          <t>991001064319702656</t>
        </is>
      </c>
      <c r="AZ186" t="inlineStr">
        <is>
          <t>991001064319702656</t>
        </is>
      </c>
      <c r="BA186" t="inlineStr">
        <is>
          <t>2272007890002656</t>
        </is>
      </c>
      <c r="BB186" t="inlineStr">
        <is>
          <t>BOOK</t>
        </is>
      </c>
      <c r="BD186" t="inlineStr">
        <is>
          <t>9780690226089</t>
        </is>
      </c>
      <c r="BE186" t="inlineStr">
        <is>
          <t>32285003393179</t>
        </is>
      </c>
      <c r="BF186" t="inlineStr">
        <is>
          <t>893225583</t>
        </is>
      </c>
    </row>
    <row r="187">
      <c r="A187" t="inlineStr">
        <is>
          <t>No</t>
        </is>
      </c>
      <c r="B187" t="inlineStr">
        <is>
          <t>CURAL</t>
        </is>
      </c>
      <c r="C187" t="inlineStr">
        <is>
          <t>SHELVES</t>
        </is>
      </c>
      <c r="D187" t="inlineStr">
        <is>
          <t>BL304 .D37 1984</t>
        </is>
      </c>
      <c r="E187" t="inlineStr">
        <is>
          <t>0                      BL 0304000D  37          1984</t>
        </is>
      </c>
      <c r="F187" t="inlineStr">
        <is>
          <t>The many meanings of myth / Martin S. Day.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Day, Martin S. (Martin Steele), 1917-</t>
        </is>
      </c>
      <c r="N187" t="inlineStr">
        <is>
          <t>Lanham, MD : University Press of America, c1984.</t>
        </is>
      </c>
      <c r="O187" t="inlineStr">
        <is>
          <t>1984</t>
        </is>
      </c>
      <c r="Q187" t="inlineStr">
        <is>
          <t>eng</t>
        </is>
      </c>
      <c r="R187" t="inlineStr">
        <is>
          <t>mdu</t>
        </is>
      </c>
      <c r="T187" t="inlineStr">
        <is>
          <t xml:space="preserve">BL </t>
        </is>
      </c>
      <c r="U187" t="n">
        <v>3</v>
      </c>
      <c r="V187" t="n">
        <v>3</v>
      </c>
      <c r="W187" t="inlineStr">
        <is>
          <t>2004-01-28</t>
        </is>
      </c>
      <c r="X187" t="inlineStr">
        <is>
          <t>2004-01-28</t>
        </is>
      </c>
      <c r="Y187" t="inlineStr">
        <is>
          <t>1990-04-26</t>
        </is>
      </c>
      <c r="Z187" t="inlineStr">
        <is>
          <t>1990-04-26</t>
        </is>
      </c>
      <c r="AA187" t="n">
        <v>558</v>
      </c>
      <c r="AB187" t="n">
        <v>468</v>
      </c>
      <c r="AC187" t="n">
        <v>469</v>
      </c>
      <c r="AD187" t="n">
        <v>4</v>
      </c>
      <c r="AE187" t="n">
        <v>4</v>
      </c>
      <c r="AF187" t="n">
        <v>15</v>
      </c>
      <c r="AG187" t="n">
        <v>15</v>
      </c>
      <c r="AH187" t="n">
        <v>3</v>
      </c>
      <c r="AI187" t="n">
        <v>3</v>
      </c>
      <c r="AJ187" t="n">
        <v>2</v>
      </c>
      <c r="AK187" t="n">
        <v>2</v>
      </c>
      <c r="AL187" t="n">
        <v>8</v>
      </c>
      <c r="AM187" t="n">
        <v>8</v>
      </c>
      <c r="AN187" t="n">
        <v>3</v>
      </c>
      <c r="AO187" t="n">
        <v>3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HYPERLINK("http://catalog.hathitrust.org/Record/000624453","HathiTrust Record")</f>
        <v/>
      </c>
      <c r="AU187">
        <f>HYPERLINK("https://creighton-primo.hosted.exlibrisgroup.com/primo-explore/search?tab=default_tab&amp;search_scope=EVERYTHING&amp;vid=01CRU&amp;lang=en_US&amp;offset=0&amp;query=any,contains,991000355629702656","Catalog Record")</f>
        <v/>
      </c>
      <c r="AV187">
        <f>HYPERLINK("http://www.worldcat.org/oclc/10324961","WorldCat Record")</f>
        <v/>
      </c>
      <c r="AW187" t="inlineStr">
        <is>
          <t>3420765:eng</t>
        </is>
      </c>
      <c r="AX187" t="inlineStr">
        <is>
          <t>10324961</t>
        </is>
      </c>
      <c r="AY187" t="inlineStr">
        <is>
          <t>991000355629702656</t>
        </is>
      </c>
      <c r="AZ187" t="inlineStr">
        <is>
          <t>991000355629702656</t>
        </is>
      </c>
      <c r="BA187" t="inlineStr">
        <is>
          <t>2268097490002656</t>
        </is>
      </c>
      <c r="BB187" t="inlineStr">
        <is>
          <t>BOOK</t>
        </is>
      </c>
      <c r="BD187" t="inlineStr">
        <is>
          <t>9780819138224</t>
        </is>
      </c>
      <c r="BE187" t="inlineStr">
        <is>
          <t>32285000133693</t>
        </is>
      </c>
      <c r="BF187" t="inlineStr">
        <is>
          <t>893796574</t>
        </is>
      </c>
    </row>
    <row r="188">
      <c r="A188" t="inlineStr">
        <is>
          <t>No</t>
        </is>
      </c>
      <c r="B188" t="inlineStr">
        <is>
          <t>CURAL</t>
        </is>
      </c>
      <c r="C188" t="inlineStr">
        <is>
          <t>SHELVES</t>
        </is>
      </c>
      <c r="D188" t="inlineStr">
        <is>
          <t>BL304 .D43</t>
        </is>
      </c>
      <c r="E188" t="inlineStr">
        <is>
          <t>0                      BL 0304000D  43</t>
        </is>
      </c>
      <c r="F188" t="inlineStr">
        <is>
          <t>Hamlet's mill; an essay on myth and the frame of time [by] Giorgio de Santillana and Hertha von Dechend.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De Santillana, Giorgio, 1902-1974.</t>
        </is>
      </c>
      <c r="N188" t="inlineStr">
        <is>
          <t>Boston, Gambit, 1969.</t>
        </is>
      </c>
      <c r="O188" t="inlineStr">
        <is>
          <t>1969</t>
        </is>
      </c>
      <c r="Q188" t="inlineStr">
        <is>
          <t>eng</t>
        </is>
      </c>
      <c r="R188" t="inlineStr">
        <is>
          <t>mau</t>
        </is>
      </c>
      <c r="T188" t="inlineStr">
        <is>
          <t xml:space="preserve">BL </t>
        </is>
      </c>
      <c r="U188" t="n">
        <v>0</v>
      </c>
      <c r="V188" t="n">
        <v>0</v>
      </c>
      <c r="W188" t="inlineStr">
        <is>
          <t>2007-03-30</t>
        </is>
      </c>
      <c r="X188" t="inlineStr">
        <is>
          <t>2007-03-30</t>
        </is>
      </c>
      <c r="Y188" t="inlineStr">
        <is>
          <t>1990-10-08</t>
        </is>
      </c>
      <c r="Z188" t="inlineStr">
        <is>
          <t>1990-10-08</t>
        </is>
      </c>
      <c r="AA188" t="n">
        <v>941</v>
      </c>
      <c r="AB188" t="n">
        <v>855</v>
      </c>
      <c r="AC188" t="n">
        <v>1016</v>
      </c>
      <c r="AD188" t="n">
        <v>5</v>
      </c>
      <c r="AE188" t="n">
        <v>5</v>
      </c>
      <c r="AF188" t="n">
        <v>37</v>
      </c>
      <c r="AG188" t="n">
        <v>38</v>
      </c>
      <c r="AH188" t="n">
        <v>14</v>
      </c>
      <c r="AI188" t="n">
        <v>14</v>
      </c>
      <c r="AJ188" t="n">
        <v>11</v>
      </c>
      <c r="AK188" t="n">
        <v>11</v>
      </c>
      <c r="AL188" t="n">
        <v>20</v>
      </c>
      <c r="AM188" t="n">
        <v>21</v>
      </c>
      <c r="AN188" t="n">
        <v>3</v>
      </c>
      <c r="AO188" t="n">
        <v>3</v>
      </c>
      <c r="AP188" t="n">
        <v>0</v>
      </c>
      <c r="AQ188" t="n">
        <v>0</v>
      </c>
      <c r="AR188" t="inlineStr">
        <is>
          <t>No</t>
        </is>
      </c>
      <c r="AS188" t="inlineStr">
        <is>
          <t>Yes</t>
        </is>
      </c>
      <c r="AT188">
        <f>HYPERLINK("http://catalog.hathitrust.org/Record/001392073","HathiTrust Record")</f>
        <v/>
      </c>
      <c r="AU188">
        <f>HYPERLINK("https://creighton-primo.hosted.exlibrisgroup.com/primo-explore/search?tab=default_tab&amp;search_scope=EVERYTHING&amp;vid=01CRU&amp;lang=en_US&amp;offset=0&amp;query=any,contains,991000105689702656","Catalog Record")</f>
        <v/>
      </c>
      <c r="AV188">
        <f>HYPERLINK("http://www.worldcat.org/oclc/46381","WorldCat Record")</f>
        <v/>
      </c>
      <c r="AW188" t="inlineStr">
        <is>
          <t>1215846:eng</t>
        </is>
      </c>
      <c r="AX188" t="inlineStr">
        <is>
          <t>46381</t>
        </is>
      </c>
      <c r="AY188" t="inlineStr">
        <is>
          <t>991000105689702656</t>
        </is>
      </c>
      <c r="AZ188" t="inlineStr">
        <is>
          <t>991000105689702656</t>
        </is>
      </c>
      <c r="BA188" t="inlineStr">
        <is>
          <t>2264254950002656</t>
        </is>
      </c>
      <c r="BB188" t="inlineStr">
        <is>
          <t>BOOK</t>
        </is>
      </c>
      <c r="BE188" t="inlineStr">
        <is>
          <t>32285000334812</t>
        </is>
      </c>
      <c r="BF188" t="inlineStr">
        <is>
          <t>893419205</t>
        </is>
      </c>
    </row>
    <row r="189">
      <c r="A189" t="inlineStr">
        <is>
          <t>No</t>
        </is>
      </c>
      <c r="B189" t="inlineStr">
        <is>
          <t>CURAL</t>
        </is>
      </c>
      <c r="C189" t="inlineStr">
        <is>
          <t>SHELVES</t>
        </is>
      </c>
      <c r="D189" t="inlineStr">
        <is>
          <t>BL304 .F6</t>
        </is>
      </c>
      <c r="E189" t="inlineStr">
        <is>
          <t>0                      BL 0304000F  6</t>
        </is>
      </c>
      <c r="F189" t="inlineStr">
        <is>
          <t>The ritual theory of myth / [by] Joseph Fontenrose.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Fontenrose, Joseph Eddy, 1903-1988.</t>
        </is>
      </c>
      <c r="N189" t="inlineStr">
        <is>
          <t>Berkeley : University of California Press, 1971 [c1966]</t>
        </is>
      </c>
      <c r="O189" t="inlineStr">
        <is>
          <t>1971</t>
        </is>
      </c>
      <c r="Q189" t="inlineStr">
        <is>
          <t>eng</t>
        </is>
      </c>
      <c r="R189" t="inlineStr">
        <is>
          <t>___</t>
        </is>
      </c>
      <c r="S189" t="inlineStr">
        <is>
          <t>University of California publications. Folklore studies ; 18</t>
        </is>
      </c>
      <c r="T189" t="inlineStr">
        <is>
          <t xml:space="preserve">BL </t>
        </is>
      </c>
      <c r="U189" t="n">
        <v>5</v>
      </c>
      <c r="V189" t="n">
        <v>5</v>
      </c>
      <c r="W189" t="inlineStr">
        <is>
          <t>2003-04-08</t>
        </is>
      </c>
      <c r="X189" t="inlineStr">
        <is>
          <t>2003-04-08</t>
        </is>
      </c>
      <c r="Y189" t="inlineStr">
        <is>
          <t>1990-10-08</t>
        </is>
      </c>
      <c r="Z189" t="inlineStr">
        <is>
          <t>1990-10-08</t>
        </is>
      </c>
      <c r="AA189" t="n">
        <v>196</v>
      </c>
      <c r="AB189" t="n">
        <v>147</v>
      </c>
      <c r="AC189" t="n">
        <v>327</v>
      </c>
      <c r="AD189" t="n">
        <v>3</v>
      </c>
      <c r="AE189" t="n">
        <v>5</v>
      </c>
      <c r="AF189" t="n">
        <v>9</v>
      </c>
      <c r="AG189" t="n">
        <v>20</v>
      </c>
      <c r="AH189" t="n">
        <v>2</v>
      </c>
      <c r="AI189" t="n">
        <v>4</v>
      </c>
      <c r="AJ189" t="n">
        <v>1</v>
      </c>
      <c r="AK189" t="n">
        <v>4</v>
      </c>
      <c r="AL189" t="n">
        <v>6</v>
      </c>
      <c r="AM189" t="n">
        <v>14</v>
      </c>
      <c r="AN189" t="n">
        <v>2</v>
      </c>
      <c r="AO189" t="n">
        <v>4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HYPERLINK("https://creighton-primo.hosted.exlibrisgroup.com/primo-explore/search?tab=default_tab&amp;search_scope=EVERYTHING&amp;vid=01CRU&amp;lang=en_US&amp;offset=0&amp;query=any,contains,991001913609702656","Catalog Record")</f>
        <v/>
      </c>
      <c r="AV189">
        <f>HYPERLINK("http://www.worldcat.org/oclc/242877","WorldCat Record")</f>
        <v/>
      </c>
      <c r="AW189" t="inlineStr">
        <is>
          <t>149069647:eng</t>
        </is>
      </c>
      <c r="AX189" t="inlineStr">
        <is>
          <t>242877</t>
        </is>
      </c>
      <c r="AY189" t="inlineStr">
        <is>
          <t>991001913609702656</t>
        </is>
      </c>
      <c r="AZ189" t="inlineStr">
        <is>
          <t>991001913609702656</t>
        </is>
      </c>
      <c r="BA189" t="inlineStr">
        <is>
          <t>2269502730002656</t>
        </is>
      </c>
      <c r="BB189" t="inlineStr">
        <is>
          <t>BOOK</t>
        </is>
      </c>
      <c r="BE189" t="inlineStr">
        <is>
          <t>32285000334853</t>
        </is>
      </c>
      <c r="BF189" t="inlineStr">
        <is>
          <t>893226225</t>
        </is>
      </c>
    </row>
    <row r="190">
      <c r="A190" t="inlineStr">
        <is>
          <t>No</t>
        </is>
      </c>
      <c r="B190" t="inlineStr">
        <is>
          <t>CURAL</t>
        </is>
      </c>
      <c r="C190" t="inlineStr">
        <is>
          <t>SHELVES</t>
        </is>
      </c>
      <c r="D190" t="inlineStr">
        <is>
          <t>BL304 .K38</t>
        </is>
      </c>
      <c r="E190" t="inlineStr">
        <is>
          <t>0                      BL 0304000K  38</t>
        </is>
      </c>
      <c r="F190" t="inlineStr">
        <is>
          <t>Myth, history, and faith : the remythologizing of Christianity / by Morton T. Kelsey.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Kelsey, Morton T.</t>
        </is>
      </c>
      <c r="N190" t="inlineStr">
        <is>
          <t>New York : Paulist Press, [1974]</t>
        </is>
      </c>
      <c r="O190" t="inlineStr">
        <is>
          <t>1974</t>
        </is>
      </c>
      <c r="Q190" t="inlineStr">
        <is>
          <t>eng</t>
        </is>
      </c>
      <c r="R190" t="inlineStr">
        <is>
          <t>nyu</t>
        </is>
      </c>
      <c r="T190" t="inlineStr">
        <is>
          <t xml:space="preserve">BL </t>
        </is>
      </c>
      <c r="U190" t="n">
        <v>5</v>
      </c>
      <c r="V190" t="n">
        <v>5</v>
      </c>
      <c r="W190" t="inlineStr">
        <is>
          <t>1994-09-10</t>
        </is>
      </c>
      <c r="X190" t="inlineStr">
        <is>
          <t>1994-09-10</t>
        </is>
      </c>
      <c r="Y190" t="inlineStr">
        <is>
          <t>1990-10-08</t>
        </is>
      </c>
      <c r="Z190" t="inlineStr">
        <is>
          <t>1990-10-08</t>
        </is>
      </c>
      <c r="AA190" t="n">
        <v>453</v>
      </c>
      <c r="AB190" t="n">
        <v>387</v>
      </c>
      <c r="AC190" t="n">
        <v>388</v>
      </c>
      <c r="AD190" t="n">
        <v>4</v>
      </c>
      <c r="AE190" t="n">
        <v>5</v>
      </c>
      <c r="AF190" t="n">
        <v>34</v>
      </c>
      <c r="AG190" t="n">
        <v>35</v>
      </c>
      <c r="AH190" t="n">
        <v>12</v>
      </c>
      <c r="AI190" t="n">
        <v>12</v>
      </c>
      <c r="AJ190" t="n">
        <v>9</v>
      </c>
      <c r="AK190" t="n">
        <v>9</v>
      </c>
      <c r="AL190" t="n">
        <v>20</v>
      </c>
      <c r="AM190" t="n">
        <v>20</v>
      </c>
      <c r="AN190" t="n">
        <v>3</v>
      </c>
      <c r="AO190" t="n">
        <v>4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HYPERLINK("https://creighton-primo.hosted.exlibrisgroup.com/primo-explore/search?tab=default_tab&amp;search_scope=EVERYTHING&amp;vid=01CRU&amp;lang=en_US&amp;offset=0&amp;query=any,contains,991003545139702656","Catalog Record")</f>
        <v/>
      </c>
      <c r="AV190">
        <f>HYPERLINK("http://www.worldcat.org/oclc/1111247","WorldCat Record")</f>
        <v/>
      </c>
      <c r="AW190" t="inlineStr">
        <is>
          <t>198435613:eng</t>
        </is>
      </c>
      <c r="AX190" t="inlineStr">
        <is>
          <t>1111247</t>
        </is>
      </c>
      <c r="AY190" t="inlineStr">
        <is>
          <t>991003545139702656</t>
        </is>
      </c>
      <c r="AZ190" t="inlineStr">
        <is>
          <t>991003545139702656</t>
        </is>
      </c>
      <c r="BA190" t="inlineStr">
        <is>
          <t>2269711810002656</t>
        </is>
      </c>
      <c r="BB190" t="inlineStr">
        <is>
          <t>BOOK</t>
        </is>
      </c>
      <c r="BD190" t="inlineStr">
        <is>
          <t>9780809118274</t>
        </is>
      </c>
      <c r="BE190" t="inlineStr">
        <is>
          <t>32285000334861</t>
        </is>
      </c>
      <c r="BF190" t="inlineStr">
        <is>
          <t>893324176</t>
        </is>
      </c>
    </row>
    <row r="191">
      <c r="A191" t="inlineStr">
        <is>
          <t>No</t>
        </is>
      </c>
      <c r="B191" t="inlineStr">
        <is>
          <t>CURAL</t>
        </is>
      </c>
      <c r="C191" t="inlineStr">
        <is>
          <t>SHELVES</t>
        </is>
      </c>
      <c r="D191" t="inlineStr">
        <is>
          <t>BL304 .N6</t>
        </is>
      </c>
      <c r="E191" t="inlineStr">
        <is>
          <t>0                      BL 0304000N  6</t>
        </is>
      </c>
      <c r="F191" t="inlineStr">
        <is>
          <t>The hero: myth, image, symbol.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Norman, Dorothy, 1905-1997.</t>
        </is>
      </c>
      <c r="N191" t="inlineStr">
        <is>
          <t>New York, World Pub. Co. [1969]</t>
        </is>
      </c>
      <c r="O191" t="inlineStr">
        <is>
          <t>1969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BL </t>
        </is>
      </c>
      <c r="U191" t="n">
        <v>6</v>
      </c>
      <c r="V191" t="n">
        <v>6</v>
      </c>
      <c r="W191" t="inlineStr">
        <is>
          <t>1997-05-03</t>
        </is>
      </c>
      <c r="X191" t="inlineStr">
        <is>
          <t>1997-05-03</t>
        </is>
      </c>
      <c r="Y191" t="inlineStr">
        <is>
          <t>1990-02-24</t>
        </is>
      </c>
      <c r="Z191" t="inlineStr">
        <is>
          <t>1990-02-24</t>
        </is>
      </c>
      <c r="AA191" t="n">
        <v>776</v>
      </c>
      <c r="AB191" t="n">
        <v>735</v>
      </c>
      <c r="AC191" t="n">
        <v>815</v>
      </c>
      <c r="AD191" t="n">
        <v>6</v>
      </c>
      <c r="AE191" t="n">
        <v>6</v>
      </c>
      <c r="AF191" t="n">
        <v>33</v>
      </c>
      <c r="AG191" t="n">
        <v>37</v>
      </c>
      <c r="AH191" t="n">
        <v>18</v>
      </c>
      <c r="AI191" t="n">
        <v>19</v>
      </c>
      <c r="AJ191" t="n">
        <v>7</v>
      </c>
      <c r="AK191" t="n">
        <v>8</v>
      </c>
      <c r="AL191" t="n">
        <v>13</v>
      </c>
      <c r="AM191" t="n">
        <v>16</v>
      </c>
      <c r="AN191" t="n">
        <v>5</v>
      </c>
      <c r="AO191" t="n">
        <v>5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HYPERLINK("http://catalog.hathitrust.org/Record/004480002","HathiTrust Record")</f>
        <v/>
      </c>
      <c r="AU191">
        <f>HYPERLINK("https://creighton-primo.hosted.exlibrisgroup.com/primo-explore/search?tab=default_tab&amp;search_scope=EVERYTHING&amp;vid=01CRU&amp;lang=en_US&amp;offset=0&amp;query=any,contains,991000118019702656","Catalog Record")</f>
        <v/>
      </c>
      <c r="AV191">
        <f>HYPERLINK("http://www.worldcat.org/oclc/49407","WorldCat Record")</f>
        <v/>
      </c>
      <c r="AW191" t="inlineStr">
        <is>
          <t>1218968:eng</t>
        </is>
      </c>
      <c r="AX191" t="inlineStr">
        <is>
          <t>49407</t>
        </is>
      </c>
      <c r="AY191" t="inlineStr">
        <is>
          <t>991000118019702656</t>
        </is>
      </c>
      <c r="AZ191" t="inlineStr">
        <is>
          <t>991000118019702656</t>
        </is>
      </c>
      <c r="BA191" t="inlineStr">
        <is>
          <t>2263507450002656</t>
        </is>
      </c>
      <c r="BB191" t="inlineStr">
        <is>
          <t>BOOK</t>
        </is>
      </c>
      <c r="BE191" t="inlineStr">
        <is>
          <t>32285000062397</t>
        </is>
      </c>
      <c r="BF191" t="inlineStr">
        <is>
          <t>893708135</t>
        </is>
      </c>
    </row>
    <row r="192">
      <c r="A192" t="inlineStr">
        <is>
          <t>No</t>
        </is>
      </c>
      <c r="B192" t="inlineStr">
        <is>
          <t>CURAL</t>
        </is>
      </c>
      <c r="C192" t="inlineStr">
        <is>
          <t>SHELVES</t>
        </is>
      </c>
      <c r="D192" t="inlineStr">
        <is>
          <t>BL304 .P32</t>
        </is>
      </c>
      <c r="E192" t="inlineStr">
        <is>
          <t>0                      BL 0304000P  32</t>
        </is>
      </c>
      <c r="F192" t="inlineStr">
        <is>
          <t>Myth, faith, and hermeneutics : cross-cultural studies / R. Panikkar.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M192" t="inlineStr">
        <is>
          <t>Panikkar, Raimon, 1918-2010.</t>
        </is>
      </c>
      <c r="N192" t="inlineStr">
        <is>
          <t>New York : Paulist Press, c1979.</t>
        </is>
      </c>
      <c r="O192" t="inlineStr">
        <is>
          <t>1979</t>
        </is>
      </c>
      <c r="Q192" t="inlineStr">
        <is>
          <t>eng</t>
        </is>
      </c>
      <c r="R192" t="inlineStr">
        <is>
          <t>nyu</t>
        </is>
      </c>
      <c r="T192" t="inlineStr">
        <is>
          <t xml:space="preserve">BL </t>
        </is>
      </c>
      <c r="U192" t="n">
        <v>2</v>
      </c>
      <c r="V192" t="n">
        <v>2</v>
      </c>
      <c r="W192" t="inlineStr">
        <is>
          <t>1998-04-07</t>
        </is>
      </c>
      <c r="X192" t="inlineStr">
        <is>
          <t>1998-04-07</t>
        </is>
      </c>
      <c r="Y192" t="inlineStr">
        <is>
          <t>1990-10-08</t>
        </is>
      </c>
      <c r="Z192" t="inlineStr">
        <is>
          <t>1990-10-08</t>
        </is>
      </c>
      <c r="AA192" t="n">
        <v>450</v>
      </c>
      <c r="AB192" t="n">
        <v>369</v>
      </c>
      <c r="AC192" t="n">
        <v>372</v>
      </c>
      <c r="AD192" t="n">
        <v>2</v>
      </c>
      <c r="AE192" t="n">
        <v>2</v>
      </c>
      <c r="AF192" t="n">
        <v>31</v>
      </c>
      <c r="AG192" t="n">
        <v>31</v>
      </c>
      <c r="AH192" t="n">
        <v>12</v>
      </c>
      <c r="AI192" t="n">
        <v>12</v>
      </c>
      <c r="AJ192" t="n">
        <v>7</v>
      </c>
      <c r="AK192" t="n">
        <v>7</v>
      </c>
      <c r="AL192" t="n">
        <v>21</v>
      </c>
      <c r="AM192" t="n">
        <v>21</v>
      </c>
      <c r="AN192" t="n">
        <v>1</v>
      </c>
      <c r="AO192" t="n">
        <v>1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HYPERLINK("https://creighton-primo.hosted.exlibrisgroup.com/primo-explore/search?tab=default_tab&amp;search_scope=EVERYTHING&amp;vid=01CRU&amp;lang=en_US&amp;offset=0&amp;query=any,contains,991004907339702656","Catalog Record")</f>
        <v/>
      </c>
      <c r="AV192">
        <f>HYPERLINK("http://www.worldcat.org/oclc/5959352","WorldCat Record")</f>
        <v/>
      </c>
      <c r="AW192" t="inlineStr">
        <is>
          <t>796568763:eng</t>
        </is>
      </c>
      <c r="AX192" t="inlineStr">
        <is>
          <t>5959352</t>
        </is>
      </c>
      <c r="AY192" t="inlineStr">
        <is>
          <t>991004907339702656</t>
        </is>
      </c>
      <c r="AZ192" t="inlineStr">
        <is>
          <t>991004907339702656</t>
        </is>
      </c>
      <c r="BA192" t="inlineStr">
        <is>
          <t>2259396160002656</t>
        </is>
      </c>
      <c r="BB192" t="inlineStr">
        <is>
          <t>BOOK</t>
        </is>
      </c>
      <c r="BD192" t="inlineStr">
        <is>
          <t>9780809102327</t>
        </is>
      </c>
      <c r="BE192" t="inlineStr">
        <is>
          <t>32285000334887</t>
        </is>
      </c>
      <c r="BF192" t="inlineStr">
        <is>
          <t>893870232</t>
        </is>
      </c>
    </row>
    <row r="193">
      <c r="A193" t="inlineStr">
        <is>
          <t>No</t>
        </is>
      </c>
      <c r="B193" t="inlineStr">
        <is>
          <t>CURAL</t>
        </is>
      </c>
      <c r="C193" t="inlineStr">
        <is>
          <t>SHELVES</t>
        </is>
      </c>
      <c r="D193" t="inlineStr">
        <is>
          <t>BL31 .K42 1984</t>
        </is>
      </c>
      <c r="E193" t="inlineStr">
        <is>
          <t>0                      BL 0031000K  42          1984</t>
        </is>
      </c>
      <c r="F193" t="inlineStr">
        <is>
          <t>The international dictionary of religion : a profusely illustrated guide to the beliefs of the world / Richard Kennedy.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Kennedy, Richard S.</t>
        </is>
      </c>
      <c r="N193" t="inlineStr">
        <is>
          <t>New York : Crossroad, 1984.</t>
        </is>
      </c>
      <c r="O193" t="inlineStr">
        <is>
          <t>1984</t>
        </is>
      </c>
      <c r="Q193" t="inlineStr">
        <is>
          <t>eng</t>
        </is>
      </c>
      <c r="R193" t="inlineStr">
        <is>
          <t>nyu</t>
        </is>
      </c>
      <c r="T193" t="inlineStr">
        <is>
          <t xml:space="preserve">BL </t>
        </is>
      </c>
      <c r="U193" t="n">
        <v>2</v>
      </c>
      <c r="V193" t="n">
        <v>2</v>
      </c>
      <c r="W193" t="inlineStr">
        <is>
          <t>2009-02-16</t>
        </is>
      </c>
      <c r="X193" t="inlineStr">
        <is>
          <t>2009-02-16</t>
        </is>
      </c>
      <c r="Y193" t="inlineStr">
        <is>
          <t>2008-05-22</t>
        </is>
      </c>
      <c r="Z193" t="inlineStr">
        <is>
          <t>2008-05-22</t>
        </is>
      </c>
      <c r="AA193" t="n">
        <v>672</v>
      </c>
      <c r="AB193" t="n">
        <v>607</v>
      </c>
      <c r="AC193" t="n">
        <v>618</v>
      </c>
      <c r="AD193" t="n">
        <v>1</v>
      </c>
      <c r="AE193" t="n">
        <v>1</v>
      </c>
      <c r="AF193" t="n">
        <v>12</v>
      </c>
      <c r="AG193" t="n">
        <v>12</v>
      </c>
      <c r="AH193" t="n">
        <v>5</v>
      </c>
      <c r="AI193" t="n">
        <v>5</v>
      </c>
      <c r="AJ193" t="n">
        <v>4</v>
      </c>
      <c r="AK193" t="n">
        <v>4</v>
      </c>
      <c r="AL193" t="n">
        <v>8</v>
      </c>
      <c r="AM193" t="n">
        <v>8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HYPERLINK("http://catalog.hathitrust.org/Record/009918549","HathiTrust Record")</f>
        <v/>
      </c>
      <c r="AU193">
        <f>HYPERLINK("https://creighton-primo.hosted.exlibrisgroup.com/primo-explore/search?tab=default_tab&amp;search_scope=EVERYTHING&amp;vid=01CRU&amp;lang=en_US&amp;offset=0&amp;query=any,contains,991005225469702656","Catalog Record")</f>
        <v/>
      </c>
      <c r="AV193">
        <f>HYPERLINK("http://www.worldcat.org/oclc/10324924","WorldCat Record")</f>
        <v/>
      </c>
      <c r="AW193" t="inlineStr">
        <is>
          <t>324556261:eng</t>
        </is>
      </c>
      <c r="AX193" t="inlineStr">
        <is>
          <t>10324924</t>
        </is>
      </c>
      <c r="AY193" t="inlineStr">
        <is>
          <t>991005225469702656</t>
        </is>
      </c>
      <c r="AZ193" t="inlineStr">
        <is>
          <t>991005225469702656</t>
        </is>
      </c>
      <c r="BA193" t="inlineStr">
        <is>
          <t>2268093350002656</t>
        </is>
      </c>
      <c r="BB193" t="inlineStr">
        <is>
          <t>BOOK</t>
        </is>
      </c>
      <c r="BD193" t="inlineStr">
        <is>
          <t>9780824506322</t>
        </is>
      </c>
      <c r="BE193" t="inlineStr">
        <is>
          <t>32285005440457</t>
        </is>
      </c>
      <c r="BF193" t="inlineStr">
        <is>
          <t>893254675</t>
        </is>
      </c>
    </row>
    <row r="194">
      <c r="A194" t="inlineStr">
        <is>
          <t>No</t>
        </is>
      </c>
      <c r="B194" t="inlineStr">
        <is>
          <t>CURAL</t>
        </is>
      </c>
      <c r="C194" t="inlineStr">
        <is>
          <t>SHELVES</t>
        </is>
      </c>
      <c r="D194" t="inlineStr">
        <is>
          <t>BL31 .S47 1971</t>
        </is>
      </c>
      <c r="E194" t="inlineStr">
        <is>
          <t>0                      BL 0031000S  47          1971</t>
        </is>
      </c>
      <c r="F194" t="inlineStr">
        <is>
          <t>50 key words: comparative religion, by Eric J. Sharpe.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Sharpe, Eric J. (Eric John), 1933-2000.</t>
        </is>
      </c>
      <c r="N194" t="inlineStr">
        <is>
          <t>Richmond, John Knox Press [1971]</t>
        </is>
      </c>
      <c r="O194" t="inlineStr">
        <is>
          <t>1971</t>
        </is>
      </c>
      <c r="Q194" t="inlineStr">
        <is>
          <t>eng</t>
        </is>
      </c>
      <c r="R194" t="inlineStr">
        <is>
          <t>vau</t>
        </is>
      </c>
      <c r="T194" t="inlineStr">
        <is>
          <t xml:space="preserve">BL </t>
        </is>
      </c>
      <c r="U194" t="n">
        <v>4</v>
      </c>
      <c r="V194" t="n">
        <v>4</v>
      </c>
      <c r="W194" t="inlineStr">
        <is>
          <t>2002-04-01</t>
        </is>
      </c>
      <c r="X194" t="inlineStr">
        <is>
          <t>2002-04-01</t>
        </is>
      </c>
      <c r="Y194" t="inlineStr">
        <is>
          <t>1996-12-30</t>
        </is>
      </c>
      <c r="Z194" t="inlineStr">
        <is>
          <t>1996-12-30</t>
        </is>
      </c>
      <c r="AA194" t="n">
        <v>158</v>
      </c>
      <c r="AB194" t="n">
        <v>144</v>
      </c>
      <c r="AC194" t="n">
        <v>144</v>
      </c>
      <c r="AD194" t="n">
        <v>3</v>
      </c>
      <c r="AE194" t="n">
        <v>3</v>
      </c>
      <c r="AF194" t="n">
        <v>9</v>
      </c>
      <c r="AG194" t="n">
        <v>9</v>
      </c>
      <c r="AH194" t="n">
        <v>2</v>
      </c>
      <c r="AI194" t="n">
        <v>2</v>
      </c>
      <c r="AJ194" t="n">
        <v>2</v>
      </c>
      <c r="AK194" t="n">
        <v>2</v>
      </c>
      <c r="AL194" t="n">
        <v>7</v>
      </c>
      <c r="AM194" t="n">
        <v>7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No</t>
        </is>
      </c>
      <c r="AU194">
        <f>HYPERLINK("https://creighton-primo.hosted.exlibrisgroup.com/primo-explore/search?tab=default_tab&amp;search_scope=EVERYTHING&amp;vid=01CRU&amp;lang=en_US&amp;offset=0&amp;query=any,contains,991002172729702656","Catalog Record")</f>
        <v/>
      </c>
      <c r="AV194">
        <f>HYPERLINK("http://www.worldcat.org/oclc/277233","WorldCat Record")</f>
        <v/>
      </c>
      <c r="AW194" t="inlineStr">
        <is>
          <t>1415142:eng</t>
        </is>
      </c>
      <c r="AX194" t="inlineStr">
        <is>
          <t>277233</t>
        </is>
      </c>
      <c r="AY194" t="inlineStr">
        <is>
          <t>991002172729702656</t>
        </is>
      </c>
      <c r="AZ194" t="inlineStr">
        <is>
          <t>991002172729702656</t>
        </is>
      </c>
      <c r="BA194" t="inlineStr">
        <is>
          <t>2260220150002656</t>
        </is>
      </c>
      <c r="BB194" t="inlineStr">
        <is>
          <t>BOOK</t>
        </is>
      </c>
      <c r="BD194" t="inlineStr">
        <is>
          <t>9780804238977</t>
        </is>
      </c>
      <c r="BE194" t="inlineStr">
        <is>
          <t>32285002402625</t>
        </is>
      </c>
      <c r="BF194" t="inlineStr">
        <is>
          <t>893892232</t>
        </is>
      </c>
    </row>
    <row r="195">
      <c r="A195" t="inlineStr">
        <is>
          <t>No</t>
        </is>
      </c>
      <c r="B195" t="inlineStr">
        <is>
          <t>CURAL</t>
        </is>
      </c>
      <c r="C195" t="inlineStr">
        <is>
          <t>SHELVES</t>
        </is>
      </c>
      <c r="D195" t="inlineStr">
        <is>
          <t>BL310 .B82 1970</t>
        </is>
      </c>
      <c r="E195" t="inlineStr">
        <is>
          <t>0                      BL 0310000B  82          1970</t>
        </is>
      </c>
      <c r="F195" t="inlineStr">
        <is>
          <t>Mythology : The age of fable, The age of chivalry, Legends of Charlemagne.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Bulfinch, Thomas, 1796-1867.</t>
        </is>
      </c>
      <c r="N195" t="inlineStr">
        <is>
          <t>New York, Crowell [1970]</t>
        </is>
      </c>
      <c r="O195" t="inlineStr">
        <is>
          <t>1970</t>
        </is>
      </c>
      <c r="Q195" t="inlineStr">
        <is>
          <t>eng</t>
        </is>
      </c>
      <c r="R195" t="inlineStr">
        <is>
          <t>nyu</t>
        </is>
      </c>
      <c r="T195" t="inlineStr">
        <is>
          <t xml:space="preserve">BL </t>
        </is>
      </c>
      <c r="U195" t="n">
        <v>4</v>
      </c>
      <c r="V195" t="n">
        <v>4</v>
      </c>
      <c r="W195" t="inlineStr">
        <is>
          <t>2002-09-20</t>
        </is>
      </c>
      <c r="X195" t="inlineStr">
        <is>
          <t>2002-09-20</t>
        </is>
      </c>
      <c r="Y195" t="inlineStr">
        <is>
          <t>1990-10-08</t>
        </is>
      </c>
      <c r="Z195" t="inlineStr">
        <is>
          <t>1990-10-08</t>
        </is>
      </c>
      <c r="AA195" t="n">
        <v>1358</v>
      </c>
      <c r="AB195" t="n">
        <v>1282</v>
      </c>
      <c r="AC195" t="n">
        <v>2823</v>
      </c>
      <c r="AD195" t="n">
        <v>10</v>
      </c>
      <c r="AE195" t="n">
        <v>31</v>
      </c>
      <c r="AF195" t="n">
        <v>17</v>
      </c>
      <c r="AG195" t="n">
        <v>53</v>
      </c>
      <c r="AH195" t="n">
        <v>5</v>
      </c>
      <c r="AI195" t="n">
        <v>20</v>
      </c>
      <c r="AJ195" t="n">
        <v>3</v>
      </c>
      <c r="AK195" t="n">
        <v>8</v>
      </c>
      <c r="AL195" t="n">
        <v>8</v>
      </c>
      <c r="AM195" t="n">
        <v>23</v>
      </c>
      <c r="AN195" t="n">
        <v>5</v>
      </c>
      <c r="AO195" t="n">
        <v>10</v>
      </c>
      <c r="AP195" t="n">
        <v>0</v>
      </c>
      <c r="AQ195" t="n">
        <v>1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HYPERLINK("http://catalog.hathitrust.org/Record/007479444","HathiTrust Record")</f>
        <v/>
      </c>
      <c r="AU195">
        <f>HYPERLINK("https://creighton-primo.hosted.exlibrisgroup.com/primo-explore/search?tab=default_tab&amp;search_scope=EVERYTHING&amp;vid=01CRU&amp;lang=en_US&amp;offset=0&amp;query=any,contains,991000545709702656","Catalog Record")</f>
        <v/>
      </c>
      <c r="AV195">
        <f>HYPERLINK("http://www.worldcat.org/oclc/91343","WorldCat Record")</f>
        <v/>
      </c>
      <c r="AW195" t="inlineStr">
        <is>
          <t>4710720716:eng</t>
        </is>
      </c>
      <c r="AX195" t="inlineStr">
        <is>
          <t>91343</t>
        </is>
      </c>
      <c r="AY195" t="inlineStr">
        <is>
          <t>991000545709702656</t>
        </is>
      </c>
      <c r="AZ195" t="inlineStr">
        <is>
          <t>991000545709702656</t>
        </is>
      </c>
      <c r="BA195" t="inlineStr">
        <is>
          <t>2264529780002656</t>
        </is>
      </c>
      <c r="BB195" t="inlineStr">
        <is>
          <t>BOOK</t>
        </is>
      </c>
      <c r="BE195" t="inlineStr">
        <is>
          <t>32285000334937</t>
        </is>
      </c>
      <c r="BF195" t="inlineStr">
        <is>
          <t>893595647</t>
        </is>
      </c>
    </row>
    <row r="196">
      <c r="A196" t="inlineStr">
        <is>
          <t>No</t>
        </is>
      </c>
      <c r="B196" t="inlineStr">
        <is>
          <t>CURAL</t>
        </is>
      </c>
      <c r="C196" t="inlineStr">
        <is>
          <t>SHELVES</t>
        </is>
      </c>
      <c r="D196" t="inlineStr">
        <is>
          <t>BL310 .F715 1976</t>
        </is>
      </c>
      <c r="E196" t="inlineStr">
        <is>
          <t>0                      BL 0310000F  715         1976</t>
        </is>
      </c>
      <c r="F196" t="inlineStr">
        <is>
          <t>Aftermath : a supplement to The golden bough / by Sir James George Frazer.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Frazer, James George, 1854-1941.</t>
        </is>
      </c>
      <c r="N196" t="inlineStr">
        <is>
          <t>New York : AMS Press, [1976]</t>
        </is>
      </c>
      <c r="O196" t="inlineStr">
        <is>
          <t>1976</t>
        </is>
      </c>
      <c r="Q196" t="inlineStr">
        <is>
          <t>eng</t>
        </is>
      </c>
      <c r="R196" t="inlineStr">
        <is>
          <t>nyu</t>
        </is>
      </c>
      <c r="T196" t="inlineStr">
        <is>
          <t xml:space="preserve">BL </t>
        </is>
      </c>
      <c r="U196" t="n">
        <v>6</v>
      </c>
      <c r="V196" t="n">
        <v>6</v>
      </c>
      <c r="W196" t="inlineStr">
        <is>
          <t>2006-04-03</t>
        </is>
      </c>
      <c r="X196" t="inlineStr">
        <is>
          <t>2006-04-03</t>
        </is>
      </c>
      <c r="Y196" t="inlineStr">
        <is>
          <t>1990-10-08</t>
        </is>
      </c>
      <c r="Z196" t="inlineStr">
        <is>
          <t>1990-10-08</t>
        </is>
      </c>
      <c r="AA196" t="n">
        <v>106</v>
      </c>
      <c r="AB196" t="n">
        <v>96</v>
      </c>
      <c r="AC196" t="n">
        <v>598</v>
      </c>
      <c r="AD196" t="n">
        <v>3</v>
      </c>
      <c r="AE196" t="n">
        <v>8</v>
      </c>
      <c r="AF196" t="n">
        <v>4</v>
      </c>
      <c r="AG196" t="n">
        <v>21</v>
      </c>
      <c r="AH196" t="n">
        <v>2</v>
      </c>
      <c r="AI196" t="n">
        <v>8</v>
      </c>
      <c r="AJ196" t="n">
        <v>0</v>
      </c>
      <c r="AK196" t="n">
        <v>5</v>
      </c>
      <c r="AL196" t="n">
        <v>1</v>
      </c>
      <c r="AM196" t="n">
        <v>8</v>
      </c>
      <c r="AN196" t="n">
        <v>2</v>
      </c>
      <c r="AO196" t="n">
        <v>5</v>
      </c>
      <c r="AP196" t="n">
        <v>0</v>
      </c>
      <c r="AQ196" t="n">
        <v>0</v>
      </c>
      <c r="AR196" t="inlineStr">
        <is>
          <t>No</t>
        </is>
      </c>
      <c r="AS196" t="inlineStr">
        <is>
          <t>No</t>
        </is>
      </c>
      <c r="AU196">
        <f>HYPERLINK("https://creighton-primo.hosted.exlibrisgroup.com/primo-explore/search?tab=default_tab&amp;search_scope=EVERYTHING&amp;vid=01CRU&amp;lang=en_US&amp;offset=0&amp;query=any,contains,991004258459702656","Catalog Record")</f>
        <v/>
      </c>
      <c r="AV196">
        <f>HYPERLINK("http://www.worldcat.org/oclc/2834199","WorldCat Record")</f>
        <v/>
      </c>
      <c r="AW196" t="inlineStr">
        <is>
          <t>3768439201:eng</t>
        </is>
      </c>
      <c r="AX196" t="inlineStr">
        <is>
          <t>2834199</t>
        </is>
      </c>
      <c r="AY196" t="inlineStr">
        <is>
          <t>991004258459702656</t>
        </is>
      </c>
      <c r="AZ196" t="inlineStr">
        <is>
          <t>991004258459702656</t>
        </is>
      </c>
      <c r="BA196" t="inlineStr">
        <is>
          <t>2263701410002656</t>
        </is>
      </c>
      <c r="BB196" t="inlineStr">
        <is>
          <t>BOOK</t>
        </is>
      </c>
      <c r="BD196" t="inlineStr">
        <is>
          <t>9780404145439</t>
        </is>
      </c>
      <c r="BE196" t="inlineStr">
        <is>
          <t>32285000334978</t>
        </is>
      </c>
      <c r="BF196" t="inlineStr">
        <is>
          <t>893612136</t>
        </is>
      </c>
    </row>
    <row r="197">
      <c r="A197" t="inlineStr">
        <is>
          <t>No</t>
        </is>
      </c>
      <c r="B197" t="inlineStr">
        <is>
          <t>CURAL</t>
        </is>
      </c>
      <c r="C197" t="inlineStr">
        <is>
          <t>SHELVES</t>
        </is>
      </c>
      <c r="D197" t="inlineStr">
        <is>
          <t>BL310 .F715 1976a</t>
        </is>
      </c>
      <c r="E197" t="inlineStr">
        <is>
          <t>0                      BL 0310000F  715         1976a</t>
        </is>
      </c>
      <c r="F197" t="inlineStr">
        <is>
          <t>Aftermath : a supplement to The golden bough / by Sir James George Frazer.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Frazer, James George, 1854-1941.</t>
        </is>
      </c>
      <c r="N197" t="inlineStr">
        <is>
          <t>New York : St. Martin's Press, 1976.</t>
        </is>
      </c>
      <c r="O197" t="inlineStr">
        <is>
          <t>1976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BL </t>
        </is>
      </c>
      <c r="U197" t="n">
        <v>2</v>
      </c>
      <c r="V197" t="n">
        <v>2</v>
      </c>
      <c r="W197" t="inlineStr">
        <is>
          <t>1993-02-18</t>
        </is>
      </c>
      <c r="X197" t="inlineStr">
        <is>
          <t>1993-02-18</t>
        </is>
      </c>
      <c r="Y197" t="inlineStr">
        <is>
          <t>1990-10-08</t>
        </is>
      </c>
      <c r="Z197" t="inlineStr">
        <is>
          <t>1990-10-08</t>
        </is>
      </c>
      <c r="AA197" t="n">
        <v>13</v>
      </c>
      <c r="AB197" t="n">
        <v>12</v>
      </c>
      <c r="AC197" t="n">
        <v>598</v>
      </c>
      <c r="AD197" t="n">
        <v>1</v>
      </c>
      <c r="AE197" t="n">
        <v>8</v>
      </c>
      <c r="AF197" t="n">
        <v>1</v>
      </c>
      <c r="AG197" t="n">
        <v>21</v>
      </c>
      <c r="AH197" t="n">
        <v>1</v>
      </c>
      <c r="AI197" t="n">
        <v>8</v>
      </c>
      <c r="AJ197" t="n">
        <v>0</v>
      </c>
      <c r="AK197" t="n">
        <v>5</v>
      </c>
      <c r="AL197" t="n">
        <v>1</v>
      </c>
      <c r="AM197" t="n">
        <v>8</v>
      </c>
      <c r="AN197" t="n">
        <v>0</v>
      </c>
      <c r="AO197" t="n">
        <v>5</v>
      </c>
      <c r="AP197" t="n">
        <v>0</v>
      </c>
      <c r="AQ197" t="n">
        <v>0</v>
      </c>
      <c r="AR197" t="inlineStr">
        <is>
          <t>No</t>
        </is>
      </c>
      <c r="AS197" t="inlineStr">
        <is>
          <t>No</t>
        </is>
      </c>
      <c r="AU197">
        <f>HYPERLINK("https://creighton-primo.hosted.exlibrisgroup.com/primo-explore/search?tab=default_tab&amp;search_scope=EVERYTHING&amp;vid=01CRU&amp;lang=en_US&amp;offset=0&amp;query=any,contains,991004632279702656","Catalog Record")</f>
        <v/>
      </c>
      <c r="AV197">
        <f>HYPERLINK("http://www.worldcat.org/oclc/4380484","WorldCat Record")</f>
        <v/>
      </c>
      <c r="AW197" t="inlineStr">
        <is>
          <t>3768439201:eng</t>
        </is>
      </c>
      <c r="AX197" t="inlineStr">
        <is>
          <t>4380484</t>
        </is>
      </c>
      <c r="AY197" t="inlineStr">
        <is>
          <t>991004632279702656</t>
        </is>
      </c>
      <c r="AZ197" t="inlineStr">
        <is>
          <t>991004632279702656</t>
        </is>
      </c>
      <c r="BA197" t="inlineStr">
        <is>
          <t>2258795370002656</t>
        </is>
      </c>
      <c r="BB197" t="inlineStr">
        <is>
          <t>BOOK</t>
        </is>
      </c>
      <c r="BE197" t="inlineStr">
        <is>
          <t>32285000334986</t>
        </is>
      </c>
      <c r="BF197" t="inlineStr">
        <is>
          <t>893259951</t>
        </is>
      </c>
    </row>
    <row r="198">
      <c r="A198" t="inlineStr">
        <is>
          <t>No</t>
        </is>
      </c>
      <c r="B198" t="inlineStr">
        <is>
          <t>CURAL</t>
        </is>
      </c>
      <c r="C198" t="inlineStr">
        <is>
          <t>SHELVES</t>
        </is>
      </c>
      <c r="D198" t="inlineStr">
        <is>
          <t>BL310 .H45 1966</t>
        </is>
      </c>
      <c r="E198" t="inlineStr">
        <is>
          <t>0                      BL 0310000H  45          1966</t>
        </is>
      </c>
      <c r="F198" t="inlineStr">
        <is>
          <t>Myths and their meaning.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Herzberg, Max J. (Max John), 1886-1958.</t>
        </is>
      </c>
      <c r="N198" t="inlineStr">
        <is>
          <t>Boston, Allyn and Bacon, 1966.</t>
        </is>
      </c>
      <c r="O198" t="inlineStr">
        <is>
          <t>1962</t>
        </is>
      </c>
      <c r="Q198" t="inlineStr">
        <is>
          <t>eng</t>
        </is>
      </c>
      <c r="R198" t="inlineStr">
        <is>
          <t>mau</t>
        </is>
      </c>
      <c r="S198" t="inlineStr">
        <is>
          <t>The Academy classics</t>
        </is>
      </c>
      <c r="T198" t="inlineStr">
        <is>
          <t xml:space="preserve">BL </t>
        </is>
      </c>
      <c r="U198" t="n">
        <v>8</v>
      </c>
      <c r="V198" t="n">
        <v>8</v>
      </c>
      <c r="W198" t="inlineStr">
        <is>
          <t>2007-10-30</t>
        </is>
      </c>
      <c r="X198" t="inlineStr">
        <is>
          <t>2007-10-30</t>
        </is>
      </c>
      <c r="Y198" t="inlineStr">
        <is>
          <t>1990-10-08</t>
        </is>
      </c>
      <c r="Z198" t="inlineStr">
        <is>
          <t>1990-10-08</t>
        </is>
      </c>
      <c r="AA198" t="n">
        <v>52</v>
      </c>
      <c r="AB198" t="n">
        <v>50</v>
      </c>
      <c r="AC198" t="n">
        <v>415</v>
      </c>
      <c r="AD198" t="n">
        <v>2</v>
      </c>
      <c r="AE198" t="n">
        <v>6</v>
      </c>
      <c r="AF198" t="n">
        <v>3</v>
      </c>
      <c r="AG198" t="n">
        <v>18</v>
      </c>
      <c r="AH198" t="n">
        <v>1</v>
      </c>
      <c r="AI198" t="n">
        <v>7</v>
      </c>
      <c r="AJ198" t="n">
        <v>1</v>
      </c>
      <c r="AK198" t="n">
        <v>4</v>
      </c>
      <c r="AL198" t="n">
        <v>1</v>
      </c>
      <c r="AM198" t="n">
        <v>5</v>
      </c>
      <c r="AN198" t="n">
        <v>1</v>
      </c>
      <c r="AO198" t="n">
        <v>5</v>
      </c>
      <c r="AP198" t="n">
        <v>0</v>
      </c>
      <c r="AQ198" t="n">
        <v>0</v>
      </c>
      <c r="AR198" t="inlineStr">
        <is>
          <t>No</t>
        </is>
      </c>
      <c r="AS198" t="inlineStr">
        <is>
          <t>No</t>
        </is>
      </c>
      <c r="AU198">
        <f>HYPERLINK("https://creighton-primo.hosted.exlibrisgroup.com/primo-explore/search?tab=default_tab&amp;search_scope=EVERYTHING&amp;vid=01CRU&amp;lang=en_US&amp;offset=0&amp;query=any,contains,991004879829702656","Catalog Record")</f>
        <v/>
      </c>
      <c r="AV198">
        <f>HYPERLINK("http://www.worldcat.org/oclc/5811727","WorldCat Record")</f>
        <v/>
      </c>
      <c r="AW198" t="inlineStr">
        <is>
          <t>1617570:eng</t>
        </is>
      </c>
      <c r="AX198" t="inlineStr">
        <is>
          <t>5811727</t>
        </is>
      </c>
      <c r="AY198" t="inlineStr">
        <is>
          <t>991004879829702656</t>
        </is>
      </c>
      <c r="AZ198" t="inlineStr">
        <is>
          <t>991004879829702656</t>
        </is>
      </c>
      <c r="BA198" t="inlineStr">
        <is>
          <t>2266930900002656</t>
        </is>
      </c>
      <c r="BB198" t="inlineStr">
        <is>
          <t>BOOK</t>
        </is>
      </c>
      <c r="BE198" t="inlineStr">
        <is>
          <t>32285000335009</t>
        </is>
      </c>
      <c r="BF198" t="inlineStr">
        <is>
          <t>893895593</t>
        </is>
      </c>
    </row>
    <row r="199">
      <c r="A199" t="inlineStr">
        <is>
          <t>No</t>
        </is>
      </c>
      <c r="B199" t="inlineStr">
        <is>
          <t>CURAL</t>
        </is>
      </c>
      <c r="C199" t="inlineStr">
        <is>
          <t>SHELVES</t>
        </is>
      </c>
      <c r="D199" t="inlineStr">
        <is>
          <t>BL310.F73 W5713 1979</t>
        </is>
      </c>
      <c r="E199" t="inlineStr">
        <is>
          <t>0                      BL 0310000F  73                 W  5713        1979</t>
        </is>
      </c>
      <c r="F199" t="inlineStr">
        <is>
          <t>Remarks on Frazer's Golden bough / Ludwig Wittgenstein ; edited by Rush Rhees ; English translation by A. C. Miles ; revised by Rush Rhees.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Wittgenstein, Ludwig, 1889-1951.</t>
        </is>
      </c>
      <c r="N199" t="inlineStr">
        <is>
          <t>Atlantic Highlands, N.J. : Humanities Press, 1979.</t>
        </is>
      </c>
      <c r="O199" t="inlineStr">
        <is>
          <t>1979</t>
        </is>
      </c>
      <c r="Q199" t="inlineStr">
        <is>
          <t>eng</t>
        </is>
      </c>
      <c r="R199" t="inlineStr">
        <is>
          <t>nju</t>
        </is>
      </c>
      <c r="T199" t="inlineStr">
        <is>
          <t xml:space="preserve">BL </t>
        </is>
      </c>
      <c r="U199" t="n">
        <v>3</v>
      </c>
      <c r="V199" t="n">
        <v>3</v>
      </c>
      <c r="W199" t="inlineStr">
        <is>
          <t>2000-06-28</t>
        </is>
      </c>
      <c r="X199" t="inlineStr">
        <is>
          <t>2000-06-28</t>
        </is>
      </c>
      <c r="Y199" t="inlineStr">
        <is>
          <t>1990-10-08</t>
        </is>
      </c>
      <c r="Z199" t="inlineStr">
        <is>
          <t>1990-10-08</t>
        </is>
      </c>
      <c r="AA199" t="n">
        <v>185</v>
      </c>
      <c r="AB199" t="n">
        <v>170</v>
      </c>
      <c r="AC199" t="n">
        <v>234</v>
      </c>
      <c r="AD199" t="n">
        <v>1</v>
      </c>
      <c r="AE199" t="n">
        <v>3</v>
      </c>
      <c r="AF199" t="n">
        <v>9</v>
      </c>
      <c r="AG199" t="n">
        <v>14</v>
      </c>
      <c r="AH199" t="n">
        <v>2</v>
      </c>
      <c r="AI199" t="n">
        <v>3</v>
      </c>
      <c r="AJ199" t="n">
        <v>5</v>
      </c>
      <c r="AK199" t="n">
        <v>6</v>
      </c>
      <c r="AL199" t="n">
        <v>5</v>
      </c>
      <c r="AM199" t="n">
        <v>8</v>
      </c>
      <c r="AN199" t="n">
        <v>0</v>
      </c>
      <c r="AO199" t="n">
        <v>2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HYPERLINK("http://catalog.hathitrust.org/Record/000297768","HathiTrust Record")</f>
        <v/>
      </c>
      <c r="AU199">
        <f>HYPERLINK("https://creighton-primo.hosted.exlibrisgroup.com/primo-explore/search?tab=default_tab&amp;search_scope=EVERYTHING&amp;vid=01CRU&amp;lang=en_US&amp;offset=0&amp;query=any,contains,991004717129702656","Catalog Record")</f>
        <v/>
      </c>
      <c r="AV199">
        <f>HYPERLINK("http://www.worldcat.org/oclc/4776737","WorldCat Record")</f>
        <v/>
      </c>
      <c r="AW199" t="inlineStr">
        <is>
          <t>5503151:eng</t>
        </is>
      </c>
      <c r="AX199" t="inlineStr">
        <is>
          <t>4776737</t>
        </is>
      </c>
      <c r="AY199" t="inlineStr">
        <is>
          <t>991004717129702656</t>
        </is>
      </c>
      <c r="AZ199" t="inlineStr">
        <is>
          <t>991004717129702656</t>
        </is>
      </c>
      <c r="BA199" t="inlineStr">
        <is>
          <t>2254990500002656</t>
        </is>
      </c>
      <c r="BB199" t="inlineStr">
        <is>
          <t>BOOK</t>
        </is>
      </c>
      <c r="BD199" t="inlineStr">
        <is>
          <t>9780391009844</t>
        </is>
      </c>
      <c r="BE199" t="inlineStr">
        <is>
          <t>32285000334994</t>
        </is>
      </c>
      <c r="BF199" t="inlineStr">
        <is>
          <t>893625007</t>
        </is>
      </c>
    </row>
    <row r="200">
      <c r="A200" t="inlineStr">
        <is>
          <t>No</t>
        </is>
      </c>
      <c r="B200" t="inlineStr">
        <is>
          <t>CURAL</t>
        </is>
      </c>
      <c r="C200" t="inlineStr">
        <is>
          <t>SHELVES</t>
        </is>
      </c>
      <c r="D200" t="inlineStr">
        <is>
          <t>BL311 .E413 1967</t>
        </is>
      </c>
      <c r="E200" t="inlineStr">
        <is>
          <t>0                      BL 0311000E  413         1967</t>
        </is>
      </c>
      <c r="F200" t="inlineStr">
        <is>
          <t>Myths, dreams, and mysteries : the encounter between contemporary faiths and archaic realities / Mircea Eliade ; Translated by Philip Mairet.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Eliade, Mircea, 1907-1986.</t>
        </is>
      </c>
      <c r="N200" t="inlineStr">
        <is>
          <t>New York : Harper &amp; Row, 1967, c1960.</t>
        </is>
      </c>
      <c r="O200" t="inlineStr">
        <is>
          <t>1967</t>
        </is>
      </c>
      <c r="Q200" t="inlineStr">
        <is>
          <t>eng</t>
        </is>
      </c>
      <c r="R200" t="inlineStr">
        <is>
          <t>nyu</t>
        </is>
      </c>
      <c r="S200" t="inlineStr">
        <is>
          <t>Harper torchbooks ; TB1320</t>
        </is>
      </c>
      <c r="T200" t="inlineStr">
        <is>
          <t xml:space="preserve">BL </t>
        </is>
      </c>
      <c r="U200" t="n">
        <v>3</v>
      </c>
      <c r="V200" t="n">
        <v>3</v>
      </c>
      <c r="W200" t="inlineStr">
        <is>
          <t>1997-11-02</t>
        </is>
      </c>
      <c r="X200" t="inlineStr">
        <is>
          <t>1997-11-02</t>
        </is>
      </c>
      <c r="Y200" t="inlineStr">
        <is>
          <t>1990-04-25</t>
        </is>
      </c>
      <c r="Z200" t="inlineStr">
        <is>
          <t>1990-04-25</t>
        </is>
      </c>
      <c r="AA200" t="n">
        <v>335</v>
      </c>
      <c r="AB200" t="n">
        <v>293</v>
      </c>
      <c r="AC200" t="n">
        <v>1015</v>
      </c>
      <c r="AD200" t="n">
        <v>2</v>
      </c>
      <c r="AE200" t="n">
        <v>8</v>
      </c>
      <c r="AF200" t="n">
        <v>17</v>
      </c>
      <c r="AG200" t="n">
        <v>50</v>
      </c>
      <c r="AH200" t="n">
        <v>9</v>
      </c>
      <c r="AI200" t="n">
        <v>20</v>
      </c>
      <c r="AJ200" t="n">
        <v>0</v>
      </c>
      <c r="AK200" t="n">
        <v>11</v>
      </c>
      <c r="AL200" t="n">
        <v>10</v>
      </c>
      <c r="AM200" t="n">
        <v>24</v>
      </c>
      <c r="AN200" t="n">
        <v>0</v>
      </c>
      <c r="AO200" t="n">
        <v>6</v>
      </c>
      <c r="AP200" t="n">
        <v>0</v>
      </c>
      <c r="AQ200" t="n">
        <v>0</v>
      </c>
      <c r="AR200" t="inlineStr">
        <is>
          <t>No</t>
        </is>
      </c>
      <c r="AS200" t="inlineStr">
        <is>
          <t>Yes</t>
        </is>
      </c>
      <c r="AT200">
        <f>HYPERLINK("http://catalog.hathitrust.org/Record/001922138","HathiTrust Record")</f>
        <v/>
      </c>
      <c r="AU200">
        <f>HYPERLINK("https://creighton-primo.hosted.exlibrisgroup.com/primo-explore/search?tab=default_tab&amp;search_scope=EVERYTHING&amp;vid=01CRU&amp;lang=en_US&amp;offset=0&amp;query=any,contains,991004961649702656","Catalog Record")</f>
        <v/>
      </c>
      <c r="AV200">
        <f>HYPERLINK("http://www.worldcat.org/oclc/6306099","WorldCat Record")</f>
        <v/>
      </c>
      <c r="AW200" t="inlineStr">
        <is>
          <t>2890701976:eng</t>
        </is>
      </c>
      <c r="AX200" t="inlineStr">
        <is>
          <t>6306099</t>
        </is>
      </c>
      <c r="AY200" t="inlineStr">
        <is>
          <t>991004961649702656</t>
        </is>
      </c>
      <c r="AZ200" t="inlineStr">
        <is>
          <t>991004961649702656</t>
        </is>
      </c>
      <c r="BA200" t="inlineStr">
        <is>
          <t>2258496720002656</t>
        </is>
      </c>
      <c r="BB200" t="inlineStr">
        <is>
          <t>BOOK</t>
        </is>
      </c>
      <c r="BE200" t="inlineStr">
        <is>
          <t>32285000132521</t>
        </is>
      </c>
      <c r="BF200" t="inlineStr">
        <is>
          <t>893883155</t>
        </is>
      </c>
    </row>
    <row r="201">
      <c r="A201" t="inlineStr">
        <is>
          <t>No</t>
        </is>
      </c>
      <c r="B201" t="inlineStr">
        <is>
          <t>CURAL</t>
        </is>
      </c>
      <c r="C201" t="inlineStr">
        <is>
          <t>SHELVES</t>
        </is>
      </c>
      <c r="D201" t="inlineStr">
        <is>
          <t>BL311 .F43</t>
        </is>
      </c>
      <c r="E201" t="inlineStr">
        <is>
          <t>0                      BL 0311000F  43</t>
        </is>
      </c>
      <c r="F201" t="inlineStr">
        <is>
          <t>The rise of modern mythology, 1680-1860 [compiled by] Burton Feldman and Robert D. Richardson.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Feldman, Burton, compiler.</t>
        </is>
      </c>
      <c r="N201" t="inlineStr">
        <is>
          <t>Bloomington, Indiana University Press [1972]</t>
        </is>
      </c>
      <c r="O201" t="inlineStr">
        <is>
          <t>1972</t>
        </is>
      </c>
      <c r="Q201" t="inlineStr">
        <is>
          <t>eng</t>
        </is>
      </c>
      <c r="R201" t="inlineStr">
        <is>
          <t>inu</t>
        </is>
      </c>
      <c r="T201" t="inlineStr">
        <is>
          <t xml:space="preserve">BL </t>
        </is>
      </c>
      <c r="U201" t="n">
        <v>3</v>
      </c>
      <c r="V201" t="n">
        <v>3</v>
      </c>
      <c r="W201" t="inlineStr">
        <is>
          <t>2000-06-07</t>
        </is>
      </c>
      <c r="X201" t="inlineStr">
        <is>
          <t>2000-06-07</t>
        </is>
      </c>
      <c r="Y201" t="inlineStr">
        <is>
          <t>1990-10-08</t>
        </is>
      </c>
      <c r="Z201" t="inlineStr">
        <is>
          <t>1990-10-08</t>
        </is>
      </c>
      <c r="AA201" t="n">
        <v>1012</v>
      </c>
      <c r="AB201" t="n">
        <v>866</v>
      </c>
      <c r="AC201" t="n">
        <v>930</v>
      </c>
      <c r="AD201" t="n">
        <v>7</v>
      </c>
      <c r="AE201" t="n">
        <v>7</v>
      </c>
      <c r="AF201" t="n">
        <v>39</v>
      </c>
      <c r="AG201" t="n">
        <v>40</v>
      </c>
      <c r="AH201" t="n">
        <v>13</v>
      </c>
      <c r="AI201" t="n">
        <v>14</v>
      </c>
      <c r="AJ201" t="n">
        <v>9</v>
      </c>
      <c r="AK201" t="n">
        <v>9</v>
      </c>
      <c r="AL201" t="n">
        <v>22</v>
      </c>
      <c r="AM201" t="n">
        <v>22</v>
      </c>
      <c r="AN201" t="n">
        <v>6</v>
      </c>
      <c r="AO201" t="n">
        <v>6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HYPERLINK("http://catalog.hathitrust.org/Record/001392124","HathiTrust Record")</f>
        <v/>
      </c>
      <c r="AU201">
        <f>HYPERLINK("https://creighton-primo.hosted.exlibrisgroup.com/primo-explore/search?tab=default_tab&amp;search_scope=EVERYTHING&amp;vid=01CRU&amp;lang=en_US&amp;offset=0&amp;query=any,contains,991002462859702656","Catalog Record")</f>
        <v/>
      </c>
      <c r="AV201">
        <f>HYPERLINK("http://www.worldcat.org/oclc/356627","WorldCat Record")</f>
        <v/>
      </c>
      <c r="AW201" t="inlineStr">
        <is>
          <t>352262300:eng</t>
        </is>
      </c>
      <c r="AX201" t="inlineStr">
        <is>
          <t>356627</t>
        </is>
      </c>
      <c r="AY201" t="inlineStr">
        <is>
          <t>991002462859702656</t>
        </is>
      </c>
      <c r="AZ201" t="inlineStr">
        <is>
          <t>991002462859702656</t>
        </is>
      </c>
      <c r="BA201" t="inlineStr">
        <is>
          <t>2262611780002656</t>
        </is>
      </c>
      <c r="BB201" t="inlineStr">
        <is>
          <t>BOOK</t>
        </is>
      </c>
      <c r="BD201" t="inlineStr">
        <is>
          <t>9780253350121</t>
        </is>
      </c>
      <c r="BE201" t="inlineStr">
        <is>
          <t>32285000345164</t>
        </is>
      </c>
      <c r="BF201" t="inlineStr">
        <is>
          <t>893510770</t>
        </is>
      </c>
    </row>
    <row r="202">
      <c r="A202" t="inlineStr">
        <is>
          <t>No</t>
        </is>
      </c>
      <c r="B202" t="inlineStr">
        <is>
          <t>CURAL</t>
        </is>
      </c>
      <c r="C202" t="inlineStr">
        <is>
          <t>SHELVES</t>
        </is>
      </c>
      <c r="D202" t="inlineStr">
        <is>
          <t>BL311 .G65</t>
        </is>
      </c>
      <c r="E202" t="inlineStr">
        <is>
          <t>0                      BL 0311000G  65</t>
        </is>
      </c>
      <c r="F202" t="inlineStr">
        <is>
          <t>The ancient myths.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M202" t="inlineStr">
        <is>
          <t>Goodrich, Norma Lorre.</t>
        </is>
      </c>
      <c r="N202" t="inlineStr">
        <is>
          <t>[New York] New American Library [1960]</t>
        </is>
      </c>
      <c r="O202" t="inlineStr">
        <is>
          <t>1960</t>
        </is>
      </c>
      <c r="Q202" t="inlineStr">
        <is>
          <t>eng</t>
        </is>
      </c>
      <c r="R202" t="inlineStr">
        <is>
          <t>nyu</t>
        </is>
      </c>
      <c r="S202" t="inlineStr">
        <is>
          <t>A Mentor book, MD313</t>
        </is>
      </c>
      <c r="T202" t="inlineStr">
        <is>
          <t xml:space="preserve">BL </t>
        </is>
      </c>
      <c r="U202" t="n">
        <v>5</v>
      </c>
      <c r="V202" t="n">
        <v>5</v>
      </c>
      <c r="W202" t="inlineStr">
        <is>
          <t>2009-11-05</t>
        </is>
      </c>
      <c r="X202" t="inlineStr">
        <is>
          <t>2009-11-05</t>
        </is>
      </c>
      <c r="Y202" t="inlineStr">
        <is>
          <t>1990-10-08</t>
        </is>
      </c>
      <c r="Z202" t="inlineStr">
        <is>
          <t>1990-10-08</t>
        </is>
      </c>
      <c r="AA202" t="n">
        <v>477</v>
      </c>
      <c r="AB202" t="n">
        <v>417</v>
      </c>
      <c r="AC202" t="n">
        <v>520</v>
      </c>
      <c r="AD202" t="n">
        <v>5</v>
      </c>
      <c r="AE202" t="n">
        <v>5</v>
      </c>
      <c r="AF202" t="n">
        <v>15</v>
      </c>
      <c r="AG202" t="n">
        <v>17</v>
      </c>
      <c r="AH202" t="n">
        <v>6</v>
      </c>
      <c r="AI202" t="n">
        <v>8</v>
      </c>
      <c r="AJ202" t="n">
        <v>0</v>
      </c>
      <c r="AK202" t="n">
        <v>0</v>
      </c>
      <c r="AL202" t="n">
        <v>7</v>
      </c>
      <c r="AM202" t="n">
        <v>8</v>
      </c>
      <c r="AN202" t="n">
        <v>3</v>
      </c>
      <c r="AO202" t="n">
        <v>3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HYPERLINK("http://catalog.hathitrust.org/Record/000008092","HathiTrust Record")</f>
        <v/>
      </c>
      <c r="AU202">
        <f>HYPERLINK("https://creighton-primo.hosted.exlibrisgroup.com/primo-explore/search?tab=default_tab&amp;search_scope=EVERYTHING&amp;vid=01CRU&amp;lang=en_US&amp;offset=0&amp;query=any,contains,991003031789702656","Catalog Record")</f>
        <v/>
      </c>
      <c r="AV202">
        <f>HYPERLINK("http://www.worldcat.org/oclc/594792","WorldCat Record")</f>
        <v/>
      </c>
      <c r="AW202" t="inlineStr">
        <is>
          <t>1797071:eng</t>
        </is>
      </c>
      <c r="AX202" t="inlineStr">
        <is>
          <t>594792</t>
        </is>
      </c>
      <c r="AY202" t="inlineStr">
        <is>
          <t>991003031789702656</t>
        </is>
      </c>
      <c r="AZ202" t="inlineStr">
        <is>
          <t>991003031789702656</t>
        </is>
      </c>
      <c r="BA202" t="inlineStr">
        <is>
          <t>2269908040002656</t>
        </is>
      </c>
      <c r="BB202" t="inlineStr">
        <is>
          <t>BOOK</t>
        </is>
      </c>
      <c r="BE202" t="inlineStr">
        <is>
          <t>32285000345172</t>
        </is>
      </c>
      <c r="BF202" t="inlineStr">
        <is>
          <t>893809794</t>
        </is>
      </c>
    </row>
    <row r="203">
      <c r="A203" t="inlineStr">
        <is>
          <t>No</t>
        </is>
      </c>
      <c r="B203" t="inlineStr">
        <is>
          <t>CURAL</t>
        </is>
      </c>
      <c r="C203" t="inlineStr">
        <is>
          <t>SHELVES</t>
        </is>
      </c>
      <c r="D203" t="inlineStr">
        <is>
          <t>BL311 .H6</t>
        </is>
      </c>
      <c r="E203" t="inlineStr">
        <is>
          <t>0                      BL 0311000H  6</t>
        </is>
      </c>
      <c r="F203" t="inlineStr">
        <is>
          <t>Middle Eastern mythology.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Hooke, S. H. (Samuel Henry), 1874-1968.</t>
        </is>
      </c>
      <c r="N203" t="inlineStr">
        <is>
          <t>Baltimore, Penguin Books [1963]</t>
        </is>
      </c>
      <c r="O203" t="inlineStr">
        <is>
          <t>1963</t>
        </is>
      </c>
      <c r="Q203" t="inlineStr">
        <is>
          <t>eng</t>
        </is>
      </c>
      <c r="R203" t="inlineStr">
        <is>
          <t>mdu</t>
        </is>
      </c>
      <c r="S203" t="inlineStr">
        <is>
          <t>Pelican books</t>
        </is>
      </c>
      <c r="T203" t="inlineStr">
        <is>
          <t xml:space="preserve">BL </t>
        </is>
      </c>
      <c r="U203" t="n">
        <v>4</v>
      </c>
      <c r="V203" t="n">
        <v>4</v>
      </c>
      <c r="W203" t="inlineStr">
        <is>
          <t>1997-09-03</t>
        </is>
      </c>
      <c r="X203" t="inlineStr">
        <is>
          <t>1997-09-03</t>
        </is>
      </c>
      <c r="Y203" t="inlineStr">
        <is>
          <t>1990-03-16</t>
        </is>
      </c>
      <c r="Z203" t="inlineStr">
        <is>
          <t>1990-03-16</t>
        </is>
      </c>
      <c r="AA203" t="n">
        <v>870</v>
      </c>
      <c r="AB203" t="n">
        <v>666</v>
      </c>
      <c r="AC203" t="n">
        <v>814</v>
      </c>
      <c r="AD203" t="n">
        <v>4</v>
      </c>
      <c r="AE203" t="n">
        <v>5</v>
      </c>
      <c r="AF203" t="n">
        <v>28</v>
      </c>
      <c r="AG203" t="n">
        <v>32</v>
      </c>
      <c r="AH203" t="n">
        <v>11</v>
      </c>
      <c r="AI203" t="n">
        <v>13</v>
      </c>
      <c r="AJ203" t="n">
        <v>6</v>
      </c>
      <c r="AK203" t="n">
        <v>6</v>
      </c>
      <c r="AL203" t="n">
        <v>17</v>
      </c>
      <c r="AM203" t="n">
        <v>20</v>
      </c>
      <c r="AN203" t="n">
        <v>3</v>
      </c>
      <c r="AO203" t="n">
        <v>3</v>
      </c>
      <c r="AP203" t="n">
        <v>0</v>
      </c>
      <c r="AQ203" t="n">
        <v>0</v>
      </c>
      <c r="AR203" t="inlineStr">
        <is>
          <t>No</t>
        </is>
      </c>
      <c r="AS203" t="inlineStr">
        <is>
          <t>No</t>
        </is>
      </c>
      <c r="AT203">
        <f>HYPERLINK("http://catalog.hathitrust.org/Record/001392127","HathiTrust Record")</f>
        <v/>
      </c>
      <c r="AU203">
        <f>HYPERLINK("https://creighton-primo.hosted.exlibrisgroup.com/primo-explore/search?tab=default_tab&amp;search_scope=EVERYTHING&amp;vid=01CRU&amp;lang=en_US&amp;offset=0&amp;query=any,contains,991002436719702656","Catalog Record")</f>
        <v/>
      </c>
      <c r="AV203">
        <f>HYPERLINK("http://www.worldcat.org/oclc/7315109","WorldCat Record")</f>
        <v/>
      </c>
      <c r="AW203" t="inlineStr">
        <is>
          <t>594444:eng</t>
        </is>
      </c>
      <c r="AX203" t="inlineStr">
        <is>
          <t>7315109</t>
        </is>
      </c>
      <c r="AY203" t="inlineStr">
        <is>
          <t>991002436719702656</t>
        </is>
      </c>
      <c r="AZ203" t="inlineStr">
        <is>
          <t>991002436719702656</t>
        </is>
      </c>
      <c r="BA203" t="inlineStr">
        <is>
          <t>2267466070002656</t>
        </is>
      </c>
      <c r="BB203" t="inlineStr">
        <is>
          <t>BOOK</t>
        </is>
      </c>
      <c r="BE203" t="inlineStr">
        <is>
          <t>32285000090406</t>
        </is>
      </c>
      <c r="BF203" t="inlineStr">
        <is>
          <t>893433888</t>
        </is>
      </c>
    </row>
    <row r="204">
      <c r="A204" t="inlineStr">
        <is>
          <t>No</t>
        </is>
      </c>
      <c r="B204" t="inlineStr">
        <is>
          <t>CURAL</t>
        </is>
      </c>
      <c r="C204" t="inlineStr">
        <is>
          <t>SHELVES</t>
        </is>
      </c>
      <c r="D204" t="inlineStr">
        <is>
          <t>BL311 .K64 1985</t>
        </is>
      </c>
      <c r="E204" t="inlineStr">
        <is>
          <t>0                      BL 0311000K  64          1985</t>
        </is>
      </c>
      <c r="F204" t="inlineStr">
        <is>
          <t>Mythology for young people : a reference guide / Rita Kohn.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M204" t="inlineStr">
        <is>
          <t>Kohn, Rita T.</t>
        </is>
      </c>
      <c r="N204" t="inlineStr">
        <is>
          <t>New York : Garland Pub., 1985.</t>
        </is>
      </c>
      <c r="O204" t="inlineStr">
        <is>
          <t>1985</t>
        </is>
      </c>
      <c r="Q204" t="inlineStr">
        <is>
          <t>eng</t>
        </is>
      </c>
      <c r="R204" t="inlineStr">
        <is>
          <t>nyu</t>
        </is>
      </c>
      <c r="S204" t="inlineStr">
        <is>
          <t>Garland reference library of the humanities ; vol. 605</t>
        </is>
      </c>
      <c r="T204" t="inlineStr">
        <is>
          <t xml:space="preserve">BL </t>
        </is>
      </c>
      <c r="U204" t="n">
        <v>6</v>
      </c>
      <c r="V204" t="n">
        <v>6</v>
      </c>
      <c r="W204" t="inlineStr">
        <is>
          <t>1994-09-10</t>
        </is>
      </c>
      <c r="X204" t="inlineStr">
        <is>
          <t>1994-09-10</t>
        </is>
      </c>
      <c r="Y204" t="inlineStr">
        <is>
          <t>1990-10-08</t>
        </is>
      </c>
      <c r="Z204" t="inlineStr">
        <is>
          <t>1990-10-08</t>
        </is>
      </c>
      <c r="AA204" t="n">
        <v>190</v>
      </c>
      <c r="AB204" t="n">
        <v>174</v>
      </c>
      <c r="AC204" t="n">
        <v>176</v>
      </c>
      <c r="AD204" t="n">
        <v>3</v>
      </c>
      <c r="AE204" t="n">
        <v>3</v>
      </c>
      <c r="AF204" t="n">
        <v>4</v>
      </c>
      <c r="AG204" t="n">
        <v>4</v>
      </c>
      <c r="AH204" t="n">
        <v>0</v>
      </c>
      <c r="AI204" t="n">
        <v>0</v>
      </c>
      <c r="AJ204" t="n">
        <v>1</v>
      </c>
      <c r="AK204" t="n">
        <v>1</v>
      </c>
      <c r="AL204" t="n">
        <v>3</v>
      </c>
      <c r="AM204" t="n">
        <v>3</v>
      </c>
      <c r="AN204" t="n">
        <v>1</v>
      </c>
      <c r="AO204" t="n">
        <v>1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HYPERLINK("http://catalog.hathitrust.org/Record/001823475","HathiTrust Record")</f>
        <v/>
      </c>
      <c r="AU204">
        <f>HYPERLINK("https://creighton-primo.hosted.exlibrisgroup.com/primo-explore/search?tab=default_tab&amp;search_scope=EVERYTHING&amp;vid=01CRU&amp;lang=en_US&amp;offset=0&amp;query=any,contains,991000675109702656","Catalog Record")</f>
        <v/>
      </c>
      <c r="AV204">
        <f>HYPERLINK("http://www.worldcat.org/oclc/12344227","WorldCat Record")</f>
        <v/>
      </c>
      <c r="AW204" t="inlineStr">
        <is>
          <t>914484:eng</t>
        </is>
      </c>
      <c r="AX204" t="inlineStr">
        <is>
          <t>12344227</t>
        </is>
      </c>
      <c r="AY204" t="inlineStr">
        <is>
          <t>991000675109702656</t>
        </is>
      </c>
      <c r="AZ204" t="inlineStr">
        <is>
          <t>991000675109702656</t>
        </is>
      </c>
      <c r="BA204" t="inlineStr">
        <is>
          <t>2265256050002656</t>
        </is>
      </c>
      <c r="BB204" t="inlineStr">
        <is>
          <t>BOOK</t>
        </is>
      </c>
      <c r="BD204" t="inlineStr">
        <is>
          <t>9780824087142</t>
        </is>
      </c>
      <c r="BE204" t="inlineStr">
        <is>
          <t>32285000345206</t>
        </is>
      </c>
      <c r="BF204" t="inlineStr">
        <is>
          <t>893407421</t>
        </is>
      </c>
    </row>
    <row r="205">
      <c r="A205" t="inlineStr">
        <is>
          <t>No</t>
        </is>
      </c>
      <c r="B205" t="inlineStr">
        <is>
          <t>CURAL</t>
        </is>
      </c>
      <c r="C205" t="inlineStr">
        <is>
          <t>SHELVES</t>
        </is>
      </c>
      <c r="D205" t="inlineStr">
        <is>
          <t>BL311 .L32</t>
        </is>
      </c>
      <c r="E205" t="inlineStr">
        <is>
          <t>0                      BL 0311000L  32</t>
        </is>
      </c>
      <c r="F205" t="inlineStr">
        <is>
          <t>Ancient myth and modern man [by] Gerald A. Larue.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Larue, Gerald A.</t>
        </is>
      </c>
      <c r="N205" t="inlineStr">
        <is>
          <t>Englewood Cliffs, N.J., Prentice-Hall [1975]</t>
        </is>
      </c>
      <c r="O205" t="inlineStr">
        <is>
          <t>1975</t>
        </is>
      </c>
      <c r="Q205" t="inlineStr">
        <is>
          <t>eng</t>
        </is>
      </c>
      <c r="R205" t="inlineStr">
        <is>
          <t>nju</t>
        </is>
      </c>
      <c r="T205" t="inlineStr">
        <is>
          <t xml:space="preserve">BL </t>
        </is>
      </c>
      <c r="U205" t="n">
        <v>8</v>
      </c>
      <c r="V205" t="n">
        <v>8</v>
      </c>
      <c r="W205" t="inlineStr">
        <is>
          <t>2001-07-23</t>
        </is>
      </c>
      <c r="X205" t="inlineStr">
        <is>
          <t>2001-07-23</t>
        </is>
      </c>
      <c r="Y205" t="inlineStr">
        <is>
          <t>1990-04-25</t>
        </is>
      </c>
      <c r="Z205" t="inlineStr">
        <is>
          <t>1990-04-25</t>
        </is>
      </c>
      <c r="AA205" t="n">
        <v>609</v>
      </c>
      <c r="AB205" t="n">
        <v>494</v>
      </c>
      <c r="AC205" t="n">
        <v>495</v>
      </c>
      <c r="AD205" t="n">
        <v>4</v>
      </c>
      <c r="AE205" t="n">
        <v>4</v>
      </c>
      <c r="AF205" t="n">
        <v>25</v>
      </c>
      <c r="AG205" t="n">
        <v>25</v>
      </c>
      <c r="AH205" t="n">
        <v>11</v>
      </c>
      <c r="AI205" t="n">
        <v>11</v>
      </c>
      <c r="AJ205" t="n">
        <v>5</v>
      </c>
      <c r="AK205" t="n">
        <v>5</v>
      </c>
      <c r="AL205" t="n">
        <v>14</v>
      </c>
      <c r="AM205" t="n">
        <v>14</v>
      </c>
      <c r="AN205" t="n">
        <v>3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HYPERLINK("http://catalog.hathitrust.org/Record/000145152","HathiTrust Record")</f>
        <v/>
      </c>
      <c r="AU205">
        <f>HYPERLINK("https://creighton-primo.hosted.exlibrisgroup.com/primo-explore/search?tab=default_tab&amp;search_scope=EVERYTHING&amp;vid=01CRU&amp;lang=en_US&amp;offset=0&amp;query=any,contains,991003378819702656","Catalog Record")</f>
        <v/>
      </c>
      <c r="AV205">
        <f>HYPERLINK("http://www.worldcat.org/oclc/914937","WorldCat Record")</f>
        <v/>
      </c>
      <c r="AW205" t="inlineStr">
        <is>
          <t>1855594:eng</t>
        </is>
      </c>
      <c r="AX205" t="inlineStr">
        <is>
          <t>914937</t>
        </is>
      </c>
      <c r="AY205" t="inlineStr">
        <is>
          <t>991003378819702656</t>
        </is>
      </c>
      <c r="AZ205" t="inlineStr">
        <is>
          <t>991003378819702656</t>
        </is>
      </c>
      <c r="BA205" t="inlineStr">
        <is>
          <t>2262623200002656</t>
        </is>
      </c>
      <c r="BB205" t="inlineStr">
        <is>
          <t>BOOK</t>
        </is>
      </c>
      <c r="BD205" t="inlineStr">
        <is>
          <t>9780130354938</t>
        </is>
      </c>
      <c r="BE205" t="inlineStr">
        <is>
          <t>32285000132539</t>
        </is>
      </c>
      <c r="BF205" t="inlineStr">
        <is>
          <t>893524761</t>
        </is>
      </c>
    </row>
    <row r="206">
      <c r="A206" t="inlineStr">
        <is>
          <t>No</t>
        </is>
      </c>
      <c r="B206" t="inlineStr">
        <is>
          <t>CURAL</t>
        </is>
      </c>
      <c r="C206" t="inlineStr">
        <is>
          <t>SHELVES</t>
        </is>
      </c>
      <c r="D206" t="inlineStr">
        <is>
          <t>BL311 .M85 1968b</t>
        </is>
      </c>
      <c r="E206" t="inlineStr">
        <is>
          <t>0                      BL 0311000M  85          1968b</t>
        </is>
      </c>
      <c r="F206" t="inlineStr">
        <is>
          <t>Myth and mythmaking / edited, and with an introd., by Henry A. Murray.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Murray, Henry A. (Henry Alexander), 1893-1988.</t>
        </is>
      </c>
      <c r="N206" t="inlineStr">
        <is>
          <t>Boston, Beacon Press [1968]</t>
        </is>
      </c>
      <c r="O206" t="inlineStr">
        <is>
          <t>1968</t>
        </is>
      </c>
      <c r="Q206" t="inlineStr">
        <is>
          <t>eng</t>
        </is>
      </c>
      <c r="R206" t="inlineStr">
        <is>
          <t>___</t>
        </is>
      </c>
      <c r="S206" t="inlineStr">
        <is>
          <t>Beacon paperback, 307</t>
        </is>
      </c>
      <c r="T206" t="inlineStr">
        <is>
          <t xml:space="preserve">BL </t>
        </is>
      </c>
      <c r="U206" t="n">
        <v>1</v>
      </c>
      <c r="V206" t="n">
        <v>1</v>
      </c>
      <c r="W206" t="inlineStr">
        <is>
          <t>1992-01-31</t>
        </is>
      </c>
      <c r="X206" t="inlineStr">
        <is>
          <t>1992-01-31</t>
        </is>
      </c>
      <c r="Y206" t="inlineStr">
        <is>
          <t>1990-10-08</t>
        </is>
      </c>
      <c r="Z206" t="inlineStr">
        <is>
          <t>1990-10-08</t>
        </is>
      </c>
      <c r="AA206" t="n">
        <v>378</v>
      </c>
      <c r="AB206" t="n">
        <v>314</v>
      </c>
      <c r="AC206" t="n">
        <v>1053</v>
      </c>
      <c r="AD206" t="n">
        <v>4</v>
      </c>
      <c r="AE206" t="n">
        <v>9</v>
      </c>
      <c r="AF206" t="n">
        <v>18</v>
      </c>
      <c r="AG206" t="n">
        <v>46</v>
      </c>
      <c r="AH206" t="n">
        <v>8</v>
      </c>
      <c r="AI206" t="n">
        <v>18</v>
      </c>
      <c r="AJ206" t="n">
        <v>3</v>
      </c>
      <c r="AK206" t="n">
        <v>9</v>
      </c>
      <c r="AL206" t="n">
        <v>9</v>
      </c>
      <c r="AM206" t="n">
        <v>22</v>
      </c>
      <c r="AN206" t="n">
        <v>3</v>
      </c>
      <c r="AO206" t="n">
        <v>7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HYPERLINK("http://catalog.hathitrust.org/Record/000004967","HathiTrust Record")</f>
        <v/>
      </c>
      <c r="AU206">
        <f>HYPERLINK("https://creighton-primo.hosted.exlibrisgroup.com/primo-explore/search?tab=default_tab&amp;search_scope=EVERYTHING&amp;vid=01CRU&amp;lang=en_US&amp;offset=0&amp;query=any,contains,991002427859702656","Catalog Record")</f>
        <v/>
      </c>
      <c r="AV206">
        <f>HYPERLINK("http://www.worldcat.org/oclc/345559","WorldCat Record")</f>
        <v/>
      </c>
      <c r="AW206" t="inlineStr">
        <is>
          <t>57534497:eng</t>
        </is>
      </c>
      <c r="AX206" t="inlineStr">
        <is>
          <t>345559</t>
        </is>
      </c>
      <c r="AY206" t="inlineStr">
        <is>
          <t>991002427859702656</t>
        </is>
      </c>
      <c r="AZ206" t="inlineStr">
        <is>
          <t>991002427859702656</t>
        </is>
      </c>
      <c r="BA206" t="inlineStr">
        <is>
          <t>2269839380002656</t>
        </is>
      </c>
      <c r="BB206" t="inlineStr">
        <is>
          <t>BOOK</t>
        </is>
      </c>
      <c r="BE206" t="inlineStr">
        <is>
          <t>32285000345214</t>
        </is>
      </c>
      <c r="BF206" t="inlineStr">
        <is>
          <t>893239022</t>
        </is>
      </c>
    </row>
    <row r="207">
      <c r="A207" t="inlineStr">
        <is>
          <t>No</t>
        </is>
      </c>
      <c r="B207" t="inlineStr">
        <is>
          <t>CURAL</t>
        </is>
      </c>
      <c r="C207" t="inlineStr">
        <is>
          <t>SHELVES</t>
        </is>
      </c>
      <c r="D207" t="inlineStr">
        <is>
          <t>BL311 .P84 1987</t>
        </is>
      </c>
      <c r="E207" t="inlineStr">
        <is>
          <t>0                      BL 0311000P  84          1987</t>
        </is>
      </c>
      <c r="F207" t="inlineStr">
        <is>
          <t>Comparative mythology / Jaan Puhvel.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Puhvel, Jaan.</t>
        </is>
      </c>
      <c r="N207" t="inlineStr">
        <is>
          <t>Baltimore : Johns Hopkins University Press, c1987.</t>
        </is>
      </c>
      <c r="O207" t="inlineStr">
        <is>
          <t>1987</t>
        </is>
      </c>
      <c r="Q207" t="inlineStr">
        <is>
          <t>eng</t>
        </is>
      </c>
      <c r="R207" t="inlineStr">
        <is>
          <t>mdu</t>
        </is>
      </c>
      <c r="T207" t="inlineStr">
        <is>
          <t xml:space="preserve">BL </t>
        </is>
      </c>
      <c r="U207" t="n">
        <v>10</v>
      </c>
      <c r="V207" t="n">
        <v>10</v>
      </c>
      <c r="W207" t="inlineStr">
        <is>
          <t>2008-02-08</t>
        </is>
      </c>
      <c r="X207" t="inlineStr">
        <is>
          <t>2008-02-08</t>
        </is>
      </c>
      <c r="Y207" t="inlineStr">
        <is>
          <t>1990-05-18</t>
        </is>
      </c>
      <c r="Z207" t="inlineStr">
        <is>
          <t>1990-05-18</t>
        </is>
      </c>
      <c r="AA207" t="n">
        <v>873</v>
      </c>
      <c r="AB207" t="n">
        <v>738</v>
      </c>
      <c r="AC207" t="n">
        <v>820</v>
      </c>
      <c r="AD207" t="n">
        <v>2</v>
      </c>
      <c r="AE207" t="n">
        <v>2</v>
      </c>
      <c r="AF207" t="n">
        <v>31</v>
      </c>
      <c r="AG207" t="n">
        <v>33</v>
      </c>
      <c r="AH207" t="n">
        <v>11</v>
      </c>
      <c r="AI207" t="n">
        <v>12</v>
      </c>
      <c r="AJ207" t="n">
        <v>10</v>
      </c>
      <c r="AK207" t="n">
        <v>10</v>
      </c>
      <c r="AL207" t="n">
        <v>19</v>
      </c>
      <c r="AM207" t="n">
        <v>20</v>
      </c>
      <c r="AN207" t="n">
        <v>1</v>
      </c>
      <c r="AO207" t="n">
        <v>1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HYPERLINK("http://catalog.hathitrust.org/Record/000826163","HathiTrust Record")</f>
        <v/>
      </c>
      <c r="AU207">
        <f>HYPERLINK("https://creighton-primo.hosted.exlibrisgroup.com/primo-explore/search?tab=default_tab&amp;search_scope=EVERYTHING&amp;vid=01CRU&amp;lang=en_US&amp;offset=0&amp;query=any,contains,991000915539702656","Catalog Record")</f>
        <v/>
      </c>
      <c r="AV207">
        <f>HYPERLINK("http://www.worldcat.org/oclc/14167890","WorldCat Record")</f>
        <v/>
      </c>
      <c r="AW207" t="inlineStr">
        <is>
          <t>7239607:eng</t>
        </is>
      </c>
      <c r="AX207" t="inlineStr">
        <is>
          <t>14167890</t>
        </is>
      </c>
      <c r="AY207" t="inlineStr">
        <is>
          <t>991000915539702656</t>
        </is>
      </c>
      <c r="AZ207" t="inlineStr">
        <is>
          <t>991000915539702656</t>
        </is>
      </c>
      <c r="BA207" t="inlineStr">
        <is>
          <t>2271014200002656</t>
        </is>
      </c>
      <c r="BB207" t="inlineStr">
        <is>
          <t>BOOK</t>
        </is>
      </c>
      <c r="BD207" t="inlineStr">
        <is>
          <t>9780801834134</t>
        </is>
      </c>
      <c r="BE207" t="inlineStr">
        <is>
          <t>32285000153675</t>
        </is>
      </c>
      <c r="BF207" t="inlineStr">
        <is>
          <t>893333890</t>
        </is>
      </c>
    </row>
    <row r="208">
      <c r="A208" t="inlineStr">
        <is>
          <t>No</t>
        </is>
      </c>
      <c r="B208" t="inlineStr">
        <is>
          <t>CURAL</t>
        </is>
      </c>
      <c r="C208" t="inlineStr">
        <is>
          <t>SHELVES</t>
        </is>
      </c>
      <c r="D208" t="inlineStr">
        <is>
          <t>BL311 .S77 1987</t>
        </is>
      </c>
      <c r="E208" t="inlineStr">
        <is>
          <t>0                      BL 0311000S  77          1987</t>
        </is>
      </c>
      <c r="F208" t="inlineStr">
        <is>
          <t>Four theories of myth in twentieth-century history : Cassirer, Eliade, Lévi-Strauss, and Malinowski / Ivan Strenski.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Strenski, Ivan.</t>
        </is>
      </c>
      <c r="N208" t="inlineStr">
        <is>
          <t>Iowa City : University of Iowa Press, 1987.</t>
        </is>
      </c>
      <c r="O208" t="inlineStr">
        <is>
          <t>1987</t>
        </is>
      </c>
      <c r="P208" t="inlineStr">
        <is>
          <t>1st ed.</t>
        </is>
      </c>
      <c r="Q208" t="inlineStr">
        <is>
          <t>eng</t>
        </is>
      </c>
      <c r="R208" t="inlineStr">
        <is>
          <t>iau</t>
        </is>
      </c>
      <c r="T208" t="inlineStr">
        <is>
          <t xml:space="preserve">BL </t>
        </is>
      </c>
      <c r="U208" t="n">
        <v>11</v>
      </c>
      <c r="V208" t="n">
        <v>11</v>
      </c>
      <c r="W208" t="inlineStr">
        <is>
          <t>2007-09-15</t>
        </is>
      </c>
      <c r="X208" t="inlineStr">
        <is>
          <t>2007-09-15</t>
        </is>
      </c>
      <c r="Y208" t="inlineStr">
        <is>
          <t>1990-10-08</t>
        </is>
      </c>
      <c r="Z208" t="inlineStr">
        <is>
          <t>1990-10-08</t>
        </is>
      </c>
      <c r="AA208" t="n">
        <v>606</v>
      </c>
      <c r="AB208" t="n">
        <v>546</v>
      </c>
      <c r="AC208" t="n">
        <v>595</v>
      </c>
      <c r="AD208" t="n">
        <v>6</v>
      </c>
      <c r="AE208" t="n">
        <v>6</v>
      </c>
      <c r="AF208" t="n">
        <v>29</v>
      </c>
      <c r="AG208" t="n">
        <v>31</v>
      </c>
      <c r="AH208" t="n">
        <v>12</v>
      </c>
      <c r="AI208" t="n">
        <v>12</v>
      </c>
      <c r="AJ208" t="n">
        <v>6</v>
      </c>
      <c r="AK208" t="n">
        <v>8</v>
      </c>
      <c r="AL208" t="n">
        <v>13</v>
      </c>
      <c r="AM208" t="n">
        <v>14</v>
      </c>
      <c r="AN208" t="n">
        <v>5</v>
      </c>
      <c r="AO208" t="n">
        <v>5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HYPERLINK("http://catalog.hathitrust.org/Record/000845854","HathiTrust Record")</f>
        <v/>
      </c>
      <c r="AU208">
        <f>HYPERLINK("https://creighton-primo.hosted.exlibrisgroup.com/primo-explore/search?tab=default_tab&amp;search_scope=EVERYTHING&amp;vid=01CRU&amp;lang=en_US&amp;offset=0&amp;query=any,contains,991001216089702656","Catalog Record")</f>
        <v/>
      </c>
      <c r="AV208">
        <f>HYPERLINK("http://www.worldcat.org/oclc/17425297","WorldCat Record")</f>
        <v/>
      </c>
      <c r="AW208" t="inlineStr">
        <is>
          <t>15806088:eng</t>
        </is>
      </c>
      <c r="AX208" t="inlineStr">
        <is>
          <t>17425297</t>
        </is>
      </c>
      <c r="AY208" t="inlineStr">
        <is>
          <t>991001216089702656</t>
        </is>
      </c>
      <c r="AZ208" t="inlineStr">
        <is>
          <t>991001216089702656</t>
        </is>
      </c>
      <c r="BA208" t="inlineStr">
        <is>
          <t>2266895150002656</t>
        </is>
      </c>
      <c r="BB208" t="inlineStr">
        <is>
          <t>BOOK</t>
        </is>
      </c>
      <c r="BD208" t="inlineStr">
        <is>
          <t>9780877451815</t>
        </is>
      </c>
      <c r="BE208" t="inlineStr">
        <is>
          <t>32285000345222</t>
        </is>
      </c>
      <c r="BF208" t="inlineStr">
        <is>
          <t>893528762</t>
        </is>
      </c>
    </row>
    <row r="209">
      <c r="A209" t="inlineStr">
        <is>
          <t>No</t>
        </is>
      </c>
      <c r="B209" t="inlineStr">
        <is>
          <t>CURAL</t>
        </is>
      </c>
      <c r="C209" t="inlineStr">
        <is>
          <t>SHELVES</t>
        </is>
      </c>
      <c r="D209" t="inlineStr">
        <is>
          <t>BL313 .J83 1973</t>
        </is>
      </c>
      <c r="E209" t="inlineStr">
        <is>
          <t>0                      BL 0313000J  83          1973</t>
        </is>
      </c>
      <c r="F209" t="inlineStr">
        <is>
          <t>Essays on a science of mythology; the myth of the divine child and the mysteries of Eleusis, by C. G. Jung and C. Kerényi. Translated by R. F. C. Hull.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Jung, C. G. (Carl Gustav), 1875-1961.</t>
        </is>
      </c>
      <c r="N209" t="inlineStr">
        <is>
          <t>Princeton, N.J.] Princeton University Press [1969, c1963]</t>
        </is>
      </c>
      <c r="O209" t="inlineStr">
        <is>
          <t>1969</t>
        </is>
      </c>
      <c r="P209" t="inlineStr">
        <is>
          <t>[Rev. ed.</t>
        </is>
      </c>
      <c r="Q209" t="inlineStr">
        <is>
          <t>eng</t>
        </is>
      </c>
      <c r="R209" t="inlineStr">
        <is>
          <t>nju</t>
        </is>
      </c>
      <c r="S209" t="inlineStr">
        <is>
          <t>Bollingen series ; 22</t>
        </is>
      </c>
      <c r="T209" t="inlineStr">
        <is>
          <t xml:space="preserve">BL </t>
        </is>
      </c>
      <c r="U209" t="n">
        <v>8</v>
      </c>
      <c r="V209" t="n">
        <v>8</v>
      </c>
      <c r="W209" t="inlineStr">
        <is>
          <t>2004-10-26</t>
        </is>
      </c>
      <c r="X209" t="inlineStr">
        <is>
          <t>2004-10-26</t>
        </is>
      </c>
      <c r="Y209" t="inlineStr">
        <is>
          <t>1990-10-08</t>
        </is>
      </c>
      <c r="Z209" t="inlineStr">
        <is>
          <t>1990-10-08</t>
        </is>
      </c>
      <c r="AA209" t="n">
        <v>688</v>
      </c>
      <c r="AB209" t="n">
        <v>610</v>
      </c>
      <c r="AC209" t="n">
        <v>672</v>
      </c>
      <c r="AD209" t="n">
        <v>3</v>
      </c>
      <c r="AE209" t="n">
        <v>3</v>
      </c>
      <c r="AF209" t="n">
        <v>19</v>
      </c>
      <c r="AG209" t="n">
        <v>21</v>
      </c>
      <c r="AH209" t="n">
        <v>6</v>
      </c>
      <c r="AI209" t="n">
        <v>8</v>
      </c>
      <c r="AJ209" t="n">
        <v>4</v>
      </c>
      <c r="AK209" t="n">
        <v>4</v>
      </c>
      <c r="AL209" t="n">
        <v>11</v>
      </c>
      <c r="AM209" t="n">
        <v>12</v>
      </c>
      <c r="AN209" t="n">
        <v>2</v>
      </c>
      <c r="AO209" t="n">
        <v>2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HYPERLINK("https://creighton-primo.hosted.exlibrisgroup.com/primo-explore/search?tab=default_tab&amp;search_scope=EVERYTHING&amp;vid=01CRU&amp;lang=en_US&amp;offset=0&amp;query=any,contains,991002080749702656","Catalog Record")</f>
        <v/>
      </c>
      <c r="AV209">
        <f>HYPERLINK("http://www.worldcat.org/oclc/264584","WorldCat Record")</f>
        <v/>
      </c>
      <c r="AW209" t="inlineStr">
        <is>
          <t>10628166713:eng</t>
        </is>
      </c>
      <c r="AX209" t="inlineStr">
        <is>
          <t>264584</t>
        </is>
      </c>
      <c r="AY209" t="inlineStr">
        <is>
          <t>991002080749702656</t>
        </is>
      </c>
      <c r="AZ209" t="inlineStr">
        <is>
          <t>991002080749702656</t>
        </is>
      </c>
      <c r="BA209" t="inlineStr">
        <is>
          <t>2268202180002656</t>
        </is>
      </c>
      <c r="BB209" t="inlineStr">
        <is>
          <t>BOOK</t>
        </is>
      </c>
      <c r="BD209" t="inlineStr">
        <is>
          <t>9780691098517</t>
        </is>
      </c>
      <c r="BE209" t="inlineStr">
        <is>
          <t>32285000345263</t>
        </is>
      </c>
      <c r="BF209" t="inlineStr">
        <is>
          <t>893597006</t>
        </is>
      </c>
    </row>
    <row r="210">
      <c r="A210" t="inlineStr">
        <is>
          <t>No</t>
        </is>
      </c>
      <c r="B210" t="inlineStr">
        <is>
          <t>CURAL</t>
        </is>
      </c>
      <c r="C210" t="inlineStr">
        <is>
          <t>SHELVES</t>
        </is>
      </c>
      <c r="D210" t="inlineStr">
        <is>
          <t>BL313 .M48</t>
        </is>
      </c>
      <c r="E210" t="inlineStr">
        <is>
          <t>0                      BL 0313000M  48</t>
        </is>
      </c>
      <c r="F210" t="inlineStr">
        <is>
          <t>Myth and cosmos; readings in mythology and symbolism.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Middleton, John, 1921-2009, compiler.</t>
        </is>
      </c>
      <c r="N210" t="inlineStr">
        <is>
          <t>Garden City, N.Y., Published for the American Museum of Natural History [by] the Natural History Press, 1967.</t>
        </is>
      </c>
      <c r="O210" t="inlineStr">
        <is>
          <t>1967</t>
        </is>
      </c>
      <c r="Q210" t="inlineStr">
        <is>
          <t>eng</t>
        </is>
      </c>
      <c r="R210" t="inlineStr">
        <is>
          <t>nyu</t>
        </is>
      </c>
      <c r="S210" t="inlineStr">
        <is>
          <t>American Museum sourcebooks in anthropology</t>
        </is>
      </c>
      <c r="T210" t="inlineStr">
        <is>
          <t xml:space="preserve">BL </t>
        </is>
      </c>
      <c r="U210" t="n">
        <v>1</v>
      </c>
      <c r="V210" t="n">
        <v>1</v>
      </c>
      <c r="W210" t="inlineStr">
        <is>
          <t>1992-10-08</t>
        </is>
      </c>
      <c r="X210" t="inlineStr">
        <is>
          <t>1992-10-08</t>
        </is>
      </c>
      <c r="Y210" t="inlineStr">
        <is>
          <t>1990-10-08</t>
        </is>
      </c>
      <c r="Z210" t="inlineStr">
        <is>
          <t>1990-10-08</t>
        </is>
      </c>
      <c r="AA210" t="n">
        <v>976</v>
      </c>
      <c r="AB210" t="n">
        <v>841</v>
      </c>
      <c r="AC210" t="n">
        <v>1007</v>
      </c>
      <c r="AD210" t="n">
        <v>4</v>
      </c>
      <c r="AE210" t="n">
        <v>5</v>
      </c>
      <c r="AF210" t="n">
        <v>33</v>
      </c>
      <c r="AG210" t="n">
        <v>39</v>
      </c>
      <c r="AH210" t="n">
        <v>16</v>
      </c>
      <c r="AI210" t="n">
        <v>19</v>
      </c>
      <c r="AJ210" t="n">
        <v>5</v>
      </c>
      <c r="AK210" t="n">
        <v>6</v>
      </c>
      <c r="AL210" t="n">
        <v>17</v>
      </c>
      <c r="AM210" t="n">
        <v>20</v>
      </c>
      <c r="AN210" t="n">
        <v>3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HYPERLINK("http://catalog.hathitrust.org/Record/001392140","HathiTrust Record")</f>
        <v/>
      </c>
      <c r="AU210">
        <f>HYPERLINK("https://creighton-primo.hosted.exlibrisgroup.com/primo-explore/search?tab=default_tab&amp;search_scope=EVERYTHING&amp;vid=01CRU&amp;lang=en_US&amp;offset=0&amp;query=any,contains,991002611049702656","Catalog Record")</f>
        <v/>
      </c>
      <c r="AV210">
        <f>HYPERLINK("http://www.worldcat.org/oclc/377873","WorldCat Record")</f>
        <v/>
      </c>
      <c r="AW210" t="inlineStr">
        <is>
          <t>806491503:eng</t>
        </is>
      </c>
      <c r="AX210" t="inlineStr">
        <is>
          <t>377873</t>
        </is>
      </c>
      <c r="AY210" t="inlineStr">
        <is>
          <t>991002611049702656</t>
        </is>
      </c>
      <c r="AZ210" t="inlineStr">
        <is>
          <t>991002611049702656</t>
        </is>
      </c>
      <c r="BA210" t="inlineStr">
        <is>
          <t>2263087980002656</t>
        </is>
      </c>
      <c r="BB210" t="inlineStr">
        <is>
          <t>BOOK</t>
        </is>
      </c>
      <c r="BE210" t="inlineStr">
        <is>
          <t>32285000345271</t>
        </is>
      </c>
      <c r="BF210" t="inlineStr">
        <is>
          <t>893591556</t>
        </is>
      </c>
    </row>
    <row r="211">
      <c r="A211" t="inlineStr">
        <is>
          <t>No</t>
        </is>
      </c>
      <c r="B211" t="inlineStr">
        <is>
          <t>CURAL</t>
        </is>
      </c>
      <c r="C211" t="inlineStr">
        <is>
          <t>SHELVES</t>
        </is>
      </c>
      <c r="D211" t="inlineStr">
        <is>
          <t>BL313 .R263 1964</t>
        </is>
      </c>
      <c r="E211" t="inlineStr">
        <is>
          <t>0                      BL 0313000R  263         1964</t>
        </is>
      </c>
      <c r="F211" t="inlineStr">
        <is>
          <t>The myth of the birth of the hero ; and other writings / Edited by Philip Freund.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Rank, Otto, 1884-1939.</t>
        </is>
      </c>
      <c r="N211" t="inlineStr">
        <is>
          <t>New York : Vintage Books, 1964, c1959.</t>
        </is>
      </c>
      <c r="O211" t="inlineStr">
        <is>
          <t>1964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BL </t>
        </is>
      </c>
      <c r="U211" t="n">
        <v>11</v>
      </c>
      <c r="V211" t="n">
        <v>11</v>
      </c>
      <c r="W211" t="inlineStr">
        <is>
          <t>2009-06-02</t>
        </is>
      </c>
      <c r="X211" t="inlineStr">
        <is>
          <t>2009-06-02</t>
        </is>
      </c>
      <c r="Y211" t="inlineStr">
        <is>
          <t>1990-10-08</t>
        </is>
      </c>
      <c r="Z211" t="inlineStr">
        <is>
          <t>1990-10-08</t>
        </is>
      </c>
      <c r="AA211" t="n">
        <v>192</v>
      </c>
      <c r="AB211" t="n">
        <v>164</v>
      </c>
      <c r="AC211" t="n">
        <v>641</v>
      </c>
      <c r="AD211" t="n">
        <v>1</v>
      </c>
      <c r="AE211" t="n">
        <v>6</v>
      </c>
      <c r="AF211" t="n">
        <v>7</v>
      </c>
      <c r="AG211" t="n">
        <v>28</v>
      </c>
      <c r="AH211" t="n">
        <v>3</v>
      </c>
      <c r="AI211" t="n">
        <v>10</v>
      </c>
      <c r="AJ211" t="n">
        <v>1</v>
      </c>
      <c r="AK211" t="n">
        <v>4</v>
      </c>
      <c r="AL211" t="n">
        <v>5</v>
      </c>
      <c r="AM211" t="n">
        <v>13</v>
      </c>
      <c r="AN211" t="n">
        <v>0</v>
      </c>
      <c r="AO211" t="n">
        <v>5</v>
      </c>
      <c r="AP211" t="n">
        <v>0</v>
      </c>
      <c r="AQ211" t="n">
        <v>0</v>
      </c>
      <c r="AR211" t="inlineStr">
        <is>
          <t>No</t>
        </is>
      </c>
      <c r="AS211" t="inlineStr">
        <is>
          <t>No</t>
        </is>
      </c>
      <c r="AU211">
        <f>HYPERLINK("https://creighton-primo.hosted.exlibrisgroup.com/primo-explore/search?tab=default_tab&amp;search_scope=EVERYTHING&amp;vid=01CRU&amp;lang=en_US&amp;offset=0&amp;query=any,contains,991004326759702656","Catalog Record")</f>
        <v/>
      </c>
      <c r="AV211">
        <f>HYPERLINK("http://www.worldcat.org/oclc/3041420","WorldCat Record")</f>
        <v/>
      </c>
      <c r="AW211" t="inlineStr">
        <is>
          <t>4160233859:eng</t>
        </is>
      </c>
      <c r="AX211" t="inlineStr">
        <is>
          <t>3041420</t>
        </is>
      </c>
      <c r="AY211" t="inlineStr">
        <is>
          <t>991004326759702656</t>
        </is>
      </c>
      <c r="AZ211" t="inlineStr">
        <is>
          <t>991004326759702656</t>
        </is>
      </c>
      <c r="BA211" t="inlineStr">
        <is>
          <t>2265618300002656</t>
        </is>
      </c>
      <c r="BB211" t="inlineStr">
        <is>
          <t>BOOK</t>
        </is>
      </c>
      <c r="BE211" t="inlineStr">
        <is>
          <t>32285000345289</t>
        </is>
      </c>
      <c r="BF211" t="inlineStr">
        <is>
          <t>893241276</t>
        </is>
      </c>
    </row>
    <row r="212">
      <c r="A212" t="inlineStr">
        <is>
          <t>No</t>
        </is>
      </c>
      <c r="B212" t="inlineStr">
        <is>
          <t>CURAL</t>
        </is>
      </c>
      <c r="C212" t="inlineStr">
        <is>
          <t>SHELVES</t>
        </is>
      </c>
      <c r="D212" t="inlineStr">
        <is>
          <t>BL315 .M95</t>
        </is>
      </c>
      <c r="E212" t="inlineStr">
        <is>
          <t>0                      BL 0315000M  95</t>
        </is>
      </c>
      <c r="F212" t="inlineStr">
        <is>
          <t>Myths / Alexander Eliot ... [et al.]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McGraw-Hill, c1976.</t>
        </is>
      </c>
      <c r="O212" t="inlineStr">
        <is>
          <t>1976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BL </t>
        </is>
      </c>
      <c r="U212" t="n">
        <v>12</v>
      </c>
      <c r="V212" t="n">
        <v>12</v>
      </c>
      <c r="W212" t="inlineStr">
        <is>
          <t>2007-03-24</t>
        </is>
      </c>
      <c r="X212" t="inlineStr">
        <is>
          <t>2007-03-24</t>
        </is>
      </c>
      <c r="Y212" t="inlineStr">
        <is>
          <t>1990-05-04</t>
        </is>
      </c>
      <c r="Z212" t="inlineStr">
        <is>
          <t>1990-05-04</t>
        </is>
      </c>
      <c r="AA212" t="n">
        <v>886</v>
      </c>
      <c r="AB212" t="n">
        <v>823</v>
      </c>
      <c r="AC212" t="n">
        <v>829</v>
      </c>
      <c r="AD212" t="n">
        <v>3</v>
      </c>
      <c r="AE212" t="n">
        <v>3</v>
      </c>
      <c r="AF212" t="n">
        <v>22</v>
      </c>
      <c r="AG212" t="n">
        <v>22</v>
      </c>
      <c r="AH212" t="n">
        <v>8</v>
      </c>
      <c r="AI212" t="n">
        <v>8</v>
      </c>
      <c r="AJ212" t="n">
        <v>5</v>
      </c>
      <c r="AK212" t="n">
        <v>5</v>
      </c>
      <c r="AL212" t="n">
        <v>14</v>
      </c>
      <c r="AM212" t="n">
        <v>14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HYPERLINK("http://catalog.hathitrust.org/Record/000085578","HathiTrust Record")</f>
        <v/>
      </c>
      <c r="AU212">
        <f>HYPERLINK("https://creighton-primo.hosted.exlibrisgroup.com/primo-explore/search?tab=default_tab&amp;search_scope=EVERYTHING&amp;vid=01CRU&amp;lang=en_US&amp;offset=0&amp;query=any,contains,991004165169702656","Catalog Record")</f>
        <v/>
      </c>
      <c r="AV212">
        <f>HYPERLINK("http://www.worldcat.org/oclc/2564936","WorldCat Record")</f>
        <v/>
      </c>
      <c r="AW212" t="inlineStr">
        <is>
          <t>346791495:eng</t>
        </is>
      </c>
      <c r="AX212" t="inlineStr">
        <is>
          <t>2564936</t>
        </is>
      </c>
      <c r="AY212" t="inlineStr">
        <is>
          <t>991004165169702656</t>
        </is>
      </c>
      <c r="AZ212" t="inlineStr">
        <is>
          <t>991004165169702656</t>
        </is>
      </c>
      <c r="BA212" t="inlineStr">
        <is>
          <t>2254818590002656</t>
        </is>
      </c>
      <c r="BB212" t="inlineStr">
        <is>
          <t>BOOK</t>
        </is>
      </c>
      <c r="BD212" t="inlineStr">
        <is>
          <t>9780070191938</t>
        </is>
      </c>
      <c r="BE212" t="inlineStr">
        <is>
          <t>32285000149111</t>
        </is>
      </c>
      <c r="BF212" t="inlineStr">
        <is>
          <t>893869376</t>
        </is>
      </c>
    </row>
    <row r="213">
      <c r="A213" t="inlineStr">
        <is>
          <t>No</t>
        </is>
      </c>
      <c r="B213" t="inlineStr">
        <is>
          <t>CURAL</t>
        </is>
      </c>
      <c r="C213" t="inlineStr">
        <is>
          <t>SHELVES</t>
        </is>
      </c>
      <c r="D213" t="inlineStr">
        <is>
          <t>BL325.A6 C35 1989</t>
        </is>
      </c>
      <c r="E213" t="inlineStr">
        <is>
          <t>0                      BL 0325000A  6                  C  35          1989</t>
        </is>
      </c>
      <c r="F213" t="inlineStr">
        <is>
          <t>Renewal myths and rites of the primitive hunters and planters / Joseph Campbell.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Campbell, Joseph, 1904-1987.</t>
        </is>
      </c>
      <c r="N213" t="inlineStr">
        <is>
          <t>Dallas, Tex. : Spring Publications, 1989, c1960.</t>
        </is>
      </c>
      <c r="O213" t="inlineStr">
        <is>
          <t>1989</t>
        </is>
      </c>
      <c r="Q213" t="inlineStr">
        <is>
          <t>eng</t>
        </is>
      </c>
      <c r="R213" t="inlineStr">
        <is>
          <t>txu</t>
        </is>
      </c>
      <c r="S213" t="inlineStr">
        <is>
          <t>Eranos lectures, 0743-586X ; 9</t>
        </is>
      </c>
      <c r="T213" t="inlineStr">
        <is>
          <t xml:space="preserve">BL </t>
        </is>
      </c>
      <c r="U213" t="n">
        <v>3</v>
      </c>
      <c r="V213" t="n">
        <v>3</v>
      </c>
      <c r="W213" t="inlineStr">
        <is>
          <t>1996-05-21</t>
        </is>
      </c>
      <c r="X213" t="inlineStr">
        <is>
          <t>1996-05-21</t>
        </is>
      </c>
      <c r="Y213" t="inlineStr">
        <is>
          <t>1993-02-22</t>
        </is>
      </c>
      <c r="Z213" t="inlineStr">
        <is>
          <t>1993-02-22</t>
        </is>
      </c>
      <c r="AA213" t="n">
        <v>150</v>
      </c>
      <c r="AB213" t="n">
        <v>126</v>
      </c>
      <c r="AC213" t="n">
        <v>129</v>
      </c>
      <c r="AD213" t="n">
        <v>2</v>
      </c>
      <c r="AE213" t="n">
        <v>2</v>
      </c>
      <c r="AF213" t="n">
        <v>8</v>
      </c>
      <c r="AG213" t="n">
        <v>9</v>
      </c>
      <c r="AH213" t="n">
        <v>2</v>
      </c>
      <c r="AI213" t="n">
        <v>2</v>
      </c>
      <c r="AJ213" t="n">
        <v>4</v>
      </c>
      <c r="AK213" t="n">
        <v>4</v>
      </c>
      <c r="AL213" t="n">
        <v>4</v>
      </c>
      <c r="AM213" t="n">
        <v>5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HYPERLINK("http://catalog.hathitrust.org/Record/001830861","HathiTrust Record")</f>
        <v/>
      </c>
      <c r="AU213">
        <f>HYPERLINK("https://creighton-primo.hosted.exlibrisgroup.com/primo-explore/search?tab=default_tab&amp;search_scope=EVERYTHING&amp;vid=01CRU&amp;lang=en_US&amp;offset=0&amp;query=any,contains,991001418169702656","Catalog Record")</f>
        <v/>
      </c>
      <c r="AV213">
        <f>HYPERLINK("http://www.worldcat.org/oclc/18960007","WorldCat Record")</f>
        <v/>
      </c>
      <c r="AW213" t="inlineStr">
        <is>
          <t>51585735:eng</t>
        </is>
      </c>
      <c r="AX213" t="inlineStr">
        <is>
          <t>18960007</t>
        </is>
      </c>
      <c r="AY213" t="inlineStr">
        <is>
          <t>991001418169702656</t>
        </is>
      </c>
      <c r="AZ213" t="inlineStr">
        <is>
          <t>991001418169702656</t>
        </is>
      </c>
      <c r="BA213" t="inlineStr">
        <is>
          <t>2262448150002656</t>
        </is>
      </c>
      <c r="BB213" t="inlineStr">
        <is>
          <t>BOOK</t>
        </is>
      </c>
      <c r="BD213" t="inlineStr">
        <is>
          <t>9780882144092</t>
        </is>
      </c>
      <c r="BE213" t="inlineStr">
        <is>
          <t>32285001496206</t>
        </is>
      </c>
      <c r="BF213" t="inlineStr">
        <is>
          <t>893238115</t>
        </is>
      </c>
    </row>
    <row r="214">
      <c r="A214" t="inlineStr">
        <is>
          <t>No</t>
        </is>
      </c>
      <c r="B214" t="inlineStr">
        <is>
          <t>CURAL</t>
        </is>
      </c>
      <c r="C214" t="inlineStr">
        <is>
          <t>SHELVES</t>
        </is>
      </c>
      <c r="D214" t="inlineStr">
        <is>
          <t>BL325.C7 B7</t>
        </is>
      </c>
      <c r="E214" t="inlineStr">
        <is>
          <t>0                      BL 0325000C  7                  B  7</t>
        </is>
      </c>
      <c r="F214" t="inlineStr">
        <is>
          <t>Creation legends of the ancient Near East / by S. G. F. Brandon.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Brandon, S. G. F. (Samuel George Frederick), 1907-1971.</t>
        </is>
      </c>
      <c r="N214" t="inlineStr">
        <is>
          <t>[London] Hodder and Stoughton [1963]</t>
        </is>
      </c>
      <c r="O214" t="inlineStr">
        <is>
          <t>1963</t>
        </is>
      </c>
      <c r="Q214" t="inlineStr">
        <is>
          <t>eng</t>
        </is>
      </c>
      <c r="R214" t="inlineStr">
        <is>
          <t>___</t>
        </is>
      </c>
      <c r="T214" t="inlineStr">
        <is>
          <t xml:space="preserve">BL </t>
        </is>
      </c>
      <c r="U214" t="n">
        <v>11</v>
      </c>
      <c r="V214" t="n">
        <v>11</v>
      </c>
      <c r="W214" t="inlineStr">
        <is>
          <t>2010-09-19</t>
        </is>
      </c>
      <c r="X214" t="inlineStr">
        <is>
          <t>2010-09-19</t>
        </is>
      </c>
      <c r="Y214" t="inlineStr">
        <is>
          <t>1990-07-02</t>
        </is>
      </c>
      <c r="Z214" t="inlineStr">
        <is>
          <t>1990-07-02</t>
        </is>
      </c>
      <c r="AA214" t="n">
        <v>495</v>
      </c>
      <c r="AB214" t="n">
        <v>347</v>
      </c>
      <c r="AC214" t="n">
        <v>350</v>
      </c>
      <c r="AD214" t="n">
        <v>1</v>
      </c>
      <c r="AE214" t="n">
        <v>1</v>
      </c>
      <c r="AF214" t="n">
        <v>20</v>
      </c>
      <c r="AG214" t="n">
        <v>20</v>
      </c>
      <c r="AH214" t="n">
        <v>8</v>
      </c>
      <c r="AI214" t="n">
        <v>8</v>
      </c>
      <c r="AJ214" t="n">
        <v>5</v>
      </c>
      <c r="AK214" t="n">
        <v>5</v>
      </c>
      <c r="AL214" t="n">
        <v>12</v>
      </c>
      <c r="AM214" t="n">
        <v>12</v>
      </c>
      <c r="AN214" t="n">
        <v>0</v>
      </c>
      <c r="AO214" t="n">
        <v>0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HYPERLINK("http://catalog.hathitrust.org/Record/102578563","HathiTrust Record")</f>
        <v/>
      </c>
      <c r="AU214">
        <f>HYPERLINK("https://creighton-primo.hosted.exlibrisgroup.com/primo-explore/search?tab=default_tab&amp;search_scope=EVERYTHING&amp;vid=01CRU&amp;lang=en_US&amp;offset=0&amp;query=any,contains,991002385289702656","Catalog Record")</f>
        <v/>
      </c>
      <c r="AV214">
        <f>HYPERLINK("http://www.worldcat.org/oclc/329716","WorldCat Record")</f>
        <v/>
      </c>
      <c r="AW214" t="inlineStr">
        <is>
          <t>1426419:eng</t>
        </is>
      </c>
      <c r="AX214" t="inlineStr">
        <is>
          <t>329716</t>
        </is>
      </c>
      <c r="AY214" t="inlineStr">
        <is>
          <t>991002385289702656</t>
        </is>
      </c>
      <c r="AZ214" t="inlineStr">
        <is>
          <t>991002385289702656</t>
        </is>
      </c>
      <c r="BA214" t="inlineStr">
        <is>
          <t>2267482070002656</t>
        </is>
      </c>
      <c r="BB214" t="inlineStr">
        <is>
          <t>BOOK</t>
        </is>
      </c>
      <c r="BE214" t="inlineStr">
        <is>
          <t>32285000218502</t>
        </is>
      </c>
      <c r="BF214" t="inlineStr">
        <is>
          <t>893421283</t>
        </is>
      </c>
    </row>
    <row r="215">
      <c r="A215" t="inlineStr">
        <is>
          <t>No</t>
        </is>
      </c>
      <c r="B215" t="inlineStr">
        <is>
          <t>CURAL</t>
        </is>
      </c>
      <c r="C215" t="inlineStr">
        <is>
          <t>SHELVES</t>
        </is>
      </c>
      <c r="D215" t="inlineStr">
        <is>
          <t>BL325.I5 M413</t>
        </is>
      </c>
      <c r="E215" t="inlineStr">
        <is>
          <t>0                      BL 0325000I  5                  M  413</t>
        </is>
      </c>
      <c r="F215" t="inlineStr">
        <is>
          <t>Ancient incubation and modern psychotherapy [by] C. A. Meier. Translated by Monica Curtis.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Meier, C. A. (Carl Alfred), 1905-1995.</t>
        </is>
      </c>
      <c r="N215" t="inlineStr">
        <is>
          <t>Evanston, Northwestern University Press, 1967.</t>
        </is>
      </c>
      <c r="O215" t="inlineStr">
        <is>
          <t>1967</t>
        </is>
      </c>
      <c r="Q215" t="inlineStr">
        <is>
          <t>eng</t>
        </is>
      </c>
      <c r="R215" t="inlineStr">
        <is>
          <t>ilu</t>
        </is>
      </c>
      <c r="S215" t="inlineStr">
        <is>
          <t>Studies in Jungian thought</t>
        </is>
      </c>
      <c r="T215" t="inlineStr">
        <is>
          <t xml:space="preserve">BL </t>
        </is>
      </c>
      <c r="U215" t="n">
        <v>2</v>
      </c>
      <c r="V215" t="n">
        <v>2</v>
      </c>
      <c r="W215" t="inlineStr">
        <is>
          <t>2008-12-18</t>
        </is>
      </c>
      <c r="X215" t="inlineStr">
        <is>
          <t>2008-12-18</t>
        </is>
      </c>
      <c r="Y215" t="inlineStr">
        <is>
          <t>1990-10-08</t>
        </is>
      </c>
      <c r="Z215" t="inlineStr">
        <is>
          <t>1990-10-08</t>
        </is>
      </c>
      <c r="AA215" t="n">
        <v>367</v>
      </c>
      <c r="AB215" t="n">
        <v>342</v>
      </c>
      <c r="AC215" t="n">
        <v>353</v>
      </c>
      <c r="AD215" t="n">
        <v>3</v>
      </c>
      <c r="AE215" t="n">
        <v>3</v>
      </c>
      <c r="AF215" t="n">
        <v>18</v>
      </c>
      <c r="AG215" t="n">
        <v>18</v>
      </c>
      <c r="AH215" t="n">
        <v>3</v>
      </c>
      <c r="AI215" t="n">
        <v>3</v>
      </c>
      <c r="AJ215" t="n">
        <v>5</v>
      </c>
      <c r="AK215" t="n">
        <v>5</v>
      </c>
      <c r="AL215" t="n">
        <v>11</v>
      </c>
      <c r="AM215" t="n">
        <v>11</v>
      </c>
      <c r="AN215" t="n">
        <v>2</v>
      </c>
      <c r="AO215" t="n">
        <v>2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HYPERLINK("http://catalog.hathitrust.org/Record/001397175","HathiTrust Record")</f>
        <v/>
      </c>
      <c r="AU215">
        <f>HYPERLINK("https://creighton-primo.hosted.exlibrisgroup.com/primo-explore/search?tab=default_tab&amp;search_scope=EVERYTHING&amp;vid=01CRU&amp;lang=en_US&amp;offset=0&amp;query=any,contains,991003358449702656","Catalog Record")</f>
        <v/>
      </c>
      <c r="AV215">
        <f>HYPERLINK("http://www.worldcat.org/oclc/893323","WorldCat Record")</f>
        <v/>
      </c>
      <c r="AW215" t="inlineStr">
        <is>
          <t>1482441:eng</t>
        </is>
      </c>
      <c r="AX215" t="inlineStr">
        <is>
          <t>893323</t>
        </is>
      </c>
      <c r="AY215" t="inlineStr">
        <is>
          <t>991003358449702656</t>
        </is>
      </c>
      <c r="AZ215" t="inlineStr">
        <is>
          <t>991003358449702656</t>
        </is>
      </c>
      <c r="BA215" t="inlineStr">
        <is>
          <t>2259828410002656</t>
        </is>
      </c>
      <c r="BB215" t="inlineStr">
        <is>
          <t>BOOK</t>
        </is>
      </c>
      <c r="BE215" t="inlineStr">
        <is>
          <t>32285000345362</t>
        </is>
      </c>
      <c r="BF215" t="inlineStr">
        <is>
          <t>893317920</t>
        </is>
      </c>
    </row>
    <row r="216">
      <c r="A216" t="inlineStr">
        <is>
          <t>No</t>
        </is>
      </c>
      <c r="B216" t="inlineStr">
        <is>
          <t>CURAL</t>
        </is>
      </c>
      <c r="C216" t="inlineStr">
        <is>
          <t>SHELVES</t>
        </is>
      </c>
      <c r="D216" t="inlineStr">
        <is>
          <t>BL325.K5 F7 1978</t>
        </is>
      </c>
      <c r="E216" t="inlineStr">
        <is>
          <t>0                      BL 0325000K  5                  F  7           1978</t>
        </is>
      </c>
      <c r="F216" t="inlineStr">
        <is>
          <t>Kingship and the gods : a study of ancient Near Eastern religion as the integration of society &amp; nature / Henri Frankfort ; with a new preface by Samuel Noah Kramer.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M216" t="inlineStr">
        <is>
          <t>Frankfort, Henri, 1897-1954.</t>
        </is>
      </c>
      <c r="N216" t="inlineStr">
        <is>
          <t>Chicago : University of Chicago Press, c1948, 1978.</t>
        </is>
      </c>
      <c r="O216" t="inlineStr">
        <is>
          <t>1978</t>
        </is>
      </c>
      <c r="Q216" t="inlineStr">
        <is>
          <t>eng</t>
        </is>
      </c>
      <c r="R216" t="inlineStr">
        <is>
          <t>ilu</t>
        </is>
      </c>
      <c r="S216" t="inlineStr">
        <is>
          <t>Oriental Institute essay</t>
        </is>
      </c>
      <c r="T216" t="inlineStr">
        <is>
          <t xml:space="preserve">BL </t>
        </is>
      </c>
      <c r="U216" t="n">
        <v>1</v>
      </c>
      <c r="V216" t="n">
        <v>1</v>
      </c>
      <c r="W216" t="inlineStr">
        <is>
          <t>1995-12-19</t>
        </is>
      </c>
      <c r="X216" t="inlineStr">
        <is>
          <t>1995-12-19</t>
        </is>
      </c>
      <c r="Y216" t="inlineStr">
        <is>
          <t>1991-10-29</t>
        </is>
      </c>
      <c r="Z216" t="inlineStr">
        <is>
          <t>1991-10-29</t>
        </is>
      </c>
      <c r="AA216" t="n">
        <v>1025</v>
      </c>
      <c r="AB216" t="n">
        <v>867</v>
      </c>
      <c r="AC216" t="n">
        <v>1075</v>
      </c>
      <c r="AD216" t="n">
        <v>8</v>
      </c>
      <c r="AE216" t="n">
        <v>10</v>
      </c>
      <c r="AF216" t="n">
        <v>42</v>
      </c>
      <c r="AG216" t="n">
        <v>52</v>
      </c>
      <c r="AH216" t="n">
        <v>15</v>
      </c>
      <c r="AI216" t="n">
        <v>22</v>
      </c>
      <c r="AJ216" t="n">
        <v>9</v>
      </c>
      <c r="AK216" t="n">
        <v>9</v>
      </c>
      <c r="AL216" t="n">
        <v>21</v>
      </c>
      <c r="AM216" t="n">
        <v>24</v>
      </c>
      <c r="AN216" t="n">
        <v>7</v>
      </c>
      <c r="AO216" t="n">
        <v>9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HYPERLINK("https://creighton-primo.hosted.exlibrisgroup.com/primo-explore/search?tab=default_tab&amp;search_scope=EVERYTHING&amp;vid=01CRU&amp;lang=en_US&amp;offset=0&amp;query=any,contains,991004576089702656","Catalog Record")</f>
        <v/>
      </c>
      <c r="AV216">
        <f>HYPERLINK("http://www.worldcat.org/oclc/223504","WorldCat Record")</f>
        <v/>
      </c>
      <c r="AW216" t="inlineStr">
        <is>
          <t>418312:eng</t>
        </is>
      </c>
      <c r="AX216" t="inlineStr">
        <is>
          <t>223504</t>
        </is>
      </c>
      <c r="AY216" t="inlineStr">
        <is>
          <t>991004576089702656</t>
        </is>
      </c>
      <c r="AZ216" t="inlineStr">
        <is>
          <t>991004576089702656</t>
        </is>
      </c>
      <c r="BA216" t="inlineStr">
        <is>
          <t>2271805010002656</t>
        </is>
      </c>
      <c r="BB216" t="inlineStr">
        <is>
          <t>BOOK</t>
        </is>
      </c>
      <c r="BD216" t="inlineStr">
        <is>
          <t>9780226260112</t>
        </is>
      </c>
      <c r="BE216" t="inlineStr">
        <is>
          <t>32285000803337</t>
        </is>
      </c>
      <c r="BF216" t="inlineStr">
        <is>
          <t>893229514</t>
        </is>
      </c>
    </row>
    <row r="217">
      <c r="A217" t="inlineStr">
        <is>
          <t>No</t>
        </is>
      </c>
      <c r="B217" t="inlineStr">
        <is>
          <t>CURAL</t>
        </is>
      </c>
      <c r="C217" t="inlineStr">
        <is>
          <t>SHELVES</t>
        </is>
      </c>
      <c r="D217" t="inlineStr">
        <is>
          <t>BL35 .C873 1960</t>
        </is>
      </c>
      <c r="E217" t="inlineStr">
        <is>
          <t>0                      BL 0035000C  873         1960</t>
        </is>
      </c>
      <c r="F217" t="inlineStr">
        <is>
          <t>The encounter of religions; a dialogue between the West and the Orient, with an essay on the prayer of Jesus. Translated by Pierre de Fontnouvelle with Evis McGrew. Foreword by Dietrich von Hildebrand.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Cuttat, Jacques Albert.</t>
        </is>
      </c>
      <c r="N217" t="inlineStr">
        <is>
          <t>New York, Desclée [1960]</t>
        </is>
      </c>
      <c r="O217" t="inlineStr">
        <is>
          <t>1960</t>
        </is>
      </c>
      <c r="Q217" t="inlineStr">
        <is>
          <t>eng</t>
        </is>
      </c>
      <c r="R217" t="inlineStr">
        <is>
          <t>___</t>
        </is>
      </c>
      <c r="T217" t="inlineStr">
        <is>
          <t xml:space="preserve">BL </t>
        </is>
      </c>
      <c r="U217" t="n">
        <v>5</v>
      </c>
      <c r="V217" t="n">
        <v>5</v>
      </c>
      <c r="W217" t="inlineStr">
        <is>
          <t>2002-01-24</t>
        </is>
      </c>
      <c r="X217" t="inlineStr">
        <is>
          <t>2002-01-24</t>
        </is>
      </c>
      <c r="Y217" t="inlineStr">
        <is>
          <t>1990-09-21</t>
        </is>
      </c>
      <c r="Z217" t="inlineStr">
        <is>
          <t>1990-09-21</t>
        </is>
      </c>
      <c r="AA217" t="n">
        <v>207</v>
      </c>
      <c r="AB217" t="n">
        <v>176</v>
      </c>
      <c r="AC217" t="n">
        <v>179</v>
      </c>
      <c r="AD217" t="n">
        <v>2</v>
      </c>
      <c r="AE217" t="n">
        <v>2</v>
      </c>
      <c r="AF217" t="n">
        <v>16</v>
      </c>
      <c r="AG217" t="n">
        <v>17</v>
      </c>
      <c r="AH217" t="n">
        <v>4</v>
      </c>
      <c r="AI217" t="n">
        <v>4</v>
      </c>
      <c r="AJ217" t="n">
        <v>4</v>
      </c>
      <c r="AK217" t="n">
        <v>4</v>
      </c>
      <c r="AL217" t="n">
        <v>12</v>
      </c>
      <c r="AM217" t="n">
        <v>13</v>
      </c>
      <c r="AN217" t="n">
        <v>0</v>
      </c>
      <c r="AO217" t="n">
        <v>0</v>
      </c>
      <c r="AP217" t="n">
        <v>0</v>
      </c>
      <c r="AQ217" t="n">
        <v>0</v>
      </c>
      <c r="AR217" t="inlineStr">
        <is>
          <t>No</t>
        </is>
      </c>
      <c r="AS217" t="inlineStr">
        <is>
          <t>No</t>
        </is>
      </c>
      <c r="AU217">
        <f>HYPERLINK("https://creighton-primo.hosted.exlibrisgroup.com/primo-explore/search?tab=default_tab&amp;search_scope=EVERYTHING&amp;vid=01CRU&amp;lang=en_US&amp;offset=0&amp;query=any,contains,991003372579702656","Catalog Record")</f>
        <v/>
      </c>
      <c r="AV217">
        <f>HYPERLINK("http://www.worldcat.org/oclc/908478","WorldCat Record")</f>
        <v/>
      </c>
      <c r="AW217" t="inlineStr">
        <is>
          <t>2031104:eng</t>
        </is>
      </c>
      <c r="AX217" t="inlineStr">
        <is>
          <t>908478</t>
        </is>
      </c>
      <c r="AY217" t="inlineStr">
        <is>
          <t>991003372579702656</t>
        </is>
      </c>
      <c r="AZ217" t="inlineStr">
        <is>
          <t>991003372579702656</t>
        </is>
      </c>
      <c r="BA217" t="inlineStr">
        <is>
          <t>2261445510002656</t>
        </is>
      </c>
      <c r="BB217" t="inlineStr">
        <is>
          <t>BOOK</t>
        </is>
      </c>
      <c r="BE217" t="inlineStr">
        <is>
          <t>32285000307438</t>
        </is>
      </c>
      <c r="BF217" t="inlineStr">
        <is>
          <t>893793571</t>
        </is>
      </c>
    </row>
    <row r="218">
      <c r="A218" t="inlineStr">
        <is>
          <t>No</t>
        </is>
      </c>
      <c r="B218" t="inlineStr">
        <is>
          <t>CURAL</t>
        </is>
      </c>
      <c r="C218" t="inlineStr">
        <is>
          <t>SHELVES</t>
        </is>
      </c>
      <c r="D218" t="inlineStr">
        <is>
          <t>BL41 .B49 1990</t>
        </is>
      </c>
      <c r="E218" t="inlineStr">
        <is>
          <t>0                      BL 0041000B  49          1990</t>
        </is>
      </c>
      <c r="F218" t="inlineStr">
        <is>
          <t>Beyond the classics? : essays in religious studies and liberal education / edited by Frank E. Reynolds, Sheryl L. Burkhalter.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Atlanta, Ga. : Scholars Press, c1990.</t>
        </is>
      </c>
      <c r="O218" t="inlineStr">
        <is>
          <t>1990</t>
        </is>
      </c>
      <c r="Q218" t="inlineStr">
        <is>
          <t>eng</t>
        </is>
      </c>
      <c r="R218" t="inlineStr">
        <is>
          <t>gau</t>
        </is>
      </c>
      <c r="S218" t="inlineStr">
        <is>
          <t>Scholars Press studies in the humanities</t>
        </is>
      </c>
      <c r="T218" t="inlineStr">
        <is>
          <t xml:space="preserve">BL </t>
        </is>
      </c>
      <c r="U218" t="n">
        <v>6</v>
      </c>
      <c r="V218" t="n">
        <v>6</v>
      </c>
      <c r="W218" t="inlineStr">
        <is>
          <t>2002-09-13</t>
        </is>
      </c>
      <c r="X218" t="inlineStr">
        <is>
          <t>2002-09-13</t>
        </is>
      </c>
      <c r="Y218" t="inlineStr">
        <is>
          <t>1991-08-20</t>
        </is>
      </c>
      <c r="Z218" t="inlineStr">
        <is>
          <t>1991-08-20</t>
        </is>
      </c>
      <c r="AA218" t="n">
        <v>328</v>
      </c>
      <c r="AB218" t="n">
        <v>274</v>
      </c>
      <c r="AC218" t="n">
        <v>276</v>
      </c>
      <c r="AD218" t="n">
        <v>1</v>
      </c>
      <c r="AE218" t="n">
        <v>1</v>
      </c>
      <c r="AF218" t="n">
        <v>20</v>
      </c>
      <c r="AG218" t="n">
        <v>20</v>
      </c>
      <c r="AH218" t="n">
        <v>7</v>
      </c>
      <c r="AI218" t="n">
        <v>7</v>
      </c>
      <c r="AJ218" t="n">
        <v>5</v>
      </c>
      <c r="AK218" t="n">
        <v>5</v>
      </c>
      <c r="AL218" t="n">
        <v>14</v>
      </c>
      <c r="AM218" t="n">
        <v>14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HYPERLINK("http://catalog.hathitrust.org/Record/002437684","HathiTrust Record")</f>
        <v/>
      </c>
      <c r="AU218">
        <f>HYPERLINK("https://creighton-primo.hosted.exlibrisgroup.com/primo-explore/search?tab=default_tab&amp;search_scope=EVERYTHING&amp;vid=01CRU&amp;lang=en_US&amp;offset=0&amp;query=any,contains,991001773249702656","Catalog Record")</f>
        <v/>
      </c>
      <c r="AV218">
        <f>HYPERLINK("http://www.worldcat.org/oclc/22387635","WorldCat Record")</f>
        <v/>
      </c>
      <c r="AW218" t="inlineStr">
        <is>
          <t>890481027:eng</t>
        </is>
      </c>
      <c r="AX218" t="inlineStr">
        <is>
          <t>22387635</t>
        </is>
      </c>
      <c r="AY218" t="inlineStr">
        <is>
          <t>991001773249702656</t>
        </is>
      </c>
      <c r="AZ218" t="inlineStr">
        <is>
          <t>991001773249702656</t>
        </is>
      </c>
      <c r="BA218" t="inlineStr">
        <is>
          <t>2262620740002656</t>
        </is>
      </c>
      <c r="BB218" t="inlineStr">
        <is>
          <t>BOOK</t>
        </is>
      </c>
      <c r="BD218" t="inlineStr">
        <is>
          <t>9781555405182</t>
        </is>
      </c>
      <c r="BE218" t="inlineStr">
        <is>
          <t>32285000701275</t>
        </is>
      </c>
      <c r="BF218" t="inlineStr">
        <is>
          <t>893346765</t>
        </is>
      </c>
    </row>
    <row r="219">
      <c r="A219" t="inlineStr">
        <is>
          <t>No</t>
        </is>
      </c>
      <c r="B219" t="inlineStr">
        <is>
          <t>CURAL</t>
        </is>
      </c>
      <c r="C219" t="inlineStr">
        <is>
          <t>SHELVES</t>
        </is>
      </c>
      <c r="D219" t="inlineStr">
        <is>
          <t>BL41 .E5</t>
        </is>
      </c>
      <c r="E219" t="inlineStr">
        <is>
          <t>0                      BL 0041000E  5</t>
        </is>
      </c>
      <c r="F219" t="inlineStr">
        <is>
          <t>The history of religions; essays in methodology. Edited by Mircea Eliade and Joseph M. Kitagawa. With a pref. by Jerald C. Brauer.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Eliade, Mircea, 1907-1986 editor.</t>
        </is>
      </c>
      <c r="N219" t="inlineStr">
        <is>
          <t>[Chicago] University of Chicago Press [1959]</t>
        </is>
      </c>
      <c r="O219" t="inlineStr">
        <is>
          <t>1959</t>
        </is>
      </c>
      <c r="Q219" t="inlineStr">
        <is>
          <t>eng</t>
        </is>
      </c>
      <c r="R219" t="inlineStr">
        <is>
          <t>ilu</t>
        </is>
      </c>
      <c r="T219" t="inlineStr">
        <is>
          <t xml:space="preserve">BL </t>
        </is>
      </c>
      <c r="U219" t="n">
        <v>6</v>
      </c>
      <c r="V219" t="n">
        <v>6</v>
      </c>
      <c r="W219" t="inlineStr">
        <is>
          <t>1999-04-26</t>
        </is>
      </c>
      <c r="X219" t="inlineStr">
        <is>
          <t>1999-04-26</t>
        </is>
      </c>
      <c r="Y219" t="inlineStr">
        <is>
          <t>1990-09-21</t>
        </is>
      </c>
      <c r="Z219" t="inlineStr">
        <is>
          <t>1990-09-21</t>
        </is>
      </c>
      <c r="AA219" t="n">
        <v>1070</v>
      </c>
      <c r="AB219" t="n">
        <v>895</v>
      </c>
      <c r="AC219" t="n">
        <v>920</v>
      </c>
      <c r="AD219" t="n">
        <v>6</v>
      </c>
      <c r="AE219" t="n">
        <v>6</v>
      </c>
      <c r="AF219" t="n">
        <v>48</v>
      </c>
      <c r="AG219" t="n">
        <v>48</v>
      </c>
      <c r="AH219" t="n">
        <v>21</v>
      </c>
      <c r="AI219" t="n">
        <v>21</v>
      </c>
      <c r="AJ219" t="n">
        <v>9</v>
      </c>
      <c r="AK219" t="n">
        <v>9</v>
      </c>
      <c r="AL219" t="n">
        <v>25</v>
      </c>
      <c r="AM219" t="n">
        <v>25</v>
      </c>
      <c r="AN219" t="n">
        <v>5</v>
      </c>
      <c r="AO219" t="n">
        <v>5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HYPERLINK("https://creighton-primo.hosted.exlibrisgroup.com/primo-explore/search?tab=default_tab&amp;search_scope=EVERYTHING&amp;vid=01CRU&amp;lang=en_US&amp;offset=0&amp;query=any,contains,991003175689702656","Catalog Record")</f>
        <v/>
      </c>
      <c r="AV219">
        <f>HYPERLINK("http://www.worldcat.org/oclc/710691","WorldCat Record")</f>
        <v/>
      </c>
      <c r="AW219" t="inlineStr">
        <is>
          <t>4074048:eng</t>
        </is>
      </c>
      <c r="AX219" t="inlineStr">
        <is>
          <t>710691</t>
        </is>
      </c>
      <c r="AY219" t="inlineStr">
        <is>
          <t>991003175689702656</t>
        </is>
      </c>
      <c r="AZ219" t="inlineStr">
        <is>
          <t>991003175689702656</t>
        </is>
      </c>
      <c r="BA219" t="inlineStr">
        <is>
          <t>2262491160002656</t>
        </is>
      </c>
      <c r="BB219" t="inlineStr">
        <is>
          <t>BOOK</t>
        </is>
      </c>
      <c r="BE219" t="inlineStr">
        <is>
          <t>32285000307487</t>
        </is>
      </c>
      <c r="BF219" t="inlineStr">
        <is>
          <t>893893450</t>
        </is>
      </c>
    </row>
    <row r="220">
      <c r="A220" t="inlineStr">
        <is>
          <t>No</t>
        </is>
      </c>
      <c r="B220" t="inlineStr">
        <is>
          <t>CURAL</t>
        </is>
      </c>
      <c r="C220" t="inlineStr">
        <is>
          <t>SHELVES</t>
        </is>
      </c>
      <c r="D220" t="inlineStr">
        <is>
          <t>BL41 .H5</t>
        </is>
      </c>
      <c r="E220" t="inlineStr">
        <is>
          <t>0                      BL 0041000H  5</t>
        </is>
      </c>
      <c r="F220" t="inlineStr">
        <is>
          <t>The History of religions; essays on the problem of understanding, by Joachim Wach [and others] Edited by Joseph M. Kitagawa with the collaboration of Mircea Eliade and Charles H. Long.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Chicago, University of Chicago Press [1967]</t>
        </is>
      </c>
      <c r="O220" t="inlineStr">
        <is>
          <t>1967</t>
        </is>
      </c>
      <c r="Q220" t="inlineStr">
        <is>
          <t>eng</t>
        </is>
      </c>
      <c r="R220" t="inlineStr">
        <is>
          <t>ilu</t>
        </is>
      </c>
      <c r="S220" t="inlineStr">
        <is>
          <t>Essays in divinity ; v. 1</t>
        </is>
      </c>
      <c r="T220" t="inlineStr">
        <is>
          <t xml:space="preserve">BL </t>
        </is>
      </c>
      <c r="U220" t="n">
        <v>4</v>
      </c>
      <c r="V220" t="n">
        <v>4</v>
      </c>
      <c r="W220" t="inlineStr">
        <is>
          <t>1999-12-11</t>
        </is>
      </c>
      <c r="X220" t="inlineStr">
        <is>
          <t>1999-12-11</t>
        </is>
      </c>
      <c r="Y220" t="inlineStr">
        <is>
          <t>1990-09-21</t>
        </is>
      </c>
      <c r="Z220" t="inlineStr">
        <is>
          <t>1990-09-21</t>
        </is>
      </c>
      <c r="AA220" t="n">
        <v>1037</v>
      </c>
      <c r="AB220" t="n">
        <v>897</v>
      </c>
      <c r="AC220" t="n">
        <v>1030</v>
      </c>
      <c r="AD220" t="n">
        <v>8</v>
      </c>
      <c r="AE220" t="n">
        <v>9</v>
      </c>
      <c r="AF220" t="n">
        <v>41</v>
      </c>
      <c r="AG220" t="n">
        <v>46</v>
      </c>
      <c r="AH220" t="n">
        <v>14</v>
      </c>
      <c r="AI220" t="n">
        <v>18</v>
      </c>
      <c r="AJ220" t="n">
        <v>8</v>
      </c>
      <c r="AK220" t="n">
        <v>8</v>
      </c>
      <c r="AL220" t="n">
        <v>22</v>
      </c>
      <c r="AM220" t="n">
        <v>25</v>
      </c>
      <c r="AN220" t="n">
        <v>7</v>
      </c>
      <c r="AO220" t="n">
        <v>8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HYPERLINK("http://catalog.hathitrust.org/Record/001391068","HathiTrust Record")</f>
        <v/>
      </c>
      <c r="AU220">
        <f>HYPERLINK("https://creighton-primo.hosted.exlibrisgroup.com/primo-explore/search?tab=default_tab&amp;search_scope=EVERYTHING&amp;vid=01CRU&amp;lang=en_US&amp;offset=0&amp;query=any,contains,991003474999702656","Catalog Record")</f>
        <v/>
      </c>
      <c r="AV220">
        <f>HYPERLINK("http://www.worldcat.org/oclc/321148","WorldCat Record")</f>
        <v/>
      </c>
      <c r="AW220" t="inlineStr">
        <is>
          <t>4160035151:eng</t>
        </is>
      </c>
      <c r="AX220" t="inlineStr">
        <is>
          <t>321148</t>
        </is>
      </c>
      <c r="AY220" t="inlineStr">
        <is>
          <t>991003474999702656</t>
        </is>
      </c>
      <c r="AZ220" t="inlineStr">
        <is>
          <t>991003474999702656</t>
        </is>
      </c>
      <c r="BA220" t="inlineStr">
        <is>
          <t>2258157200002656</t>
        </is>
      </c>
      <c r="BB220" t="inlineStr">
        <is>
          <t>BOOK</t>
        </is>
      </c>
      <c r="BE220" t="inlineStr">
        <is>
          <t>32285000307503</t>
        </is>
      </c>
      <c r="BF220" t="inlineStr">
        <is>
          <t>893893746</t>
        </is>
      </c>
    </row>
    <row r="221">
      <c r="A221" t="inlineStr">
        <is>
          <t>No</t>
        </is>
      </c>
      <c r="B221" t="inlineStr">
        <is>
          <t>CURAL</t>
        </is>
      </c>
      <c r="C221" t="inlineStr">
        <is>
          <t>SHELVES</t>
        </is>
      </c>
      <c r="D221" t="inlineStr">
        <is>
          <t>BL41 .T44 1991</t>
        </is>
      </c>
      <c r="E221" t="inlineStr">
        <is>
          <t>0                      BL 0041000T  44          1991</t>
        </is>
      </c>
      <c r="F221" t="inlineStr">
        <is>
          <t>Teaching the introductory course in religious studies : a sourcebook / edited by Mark Juergensmeyer.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N221" t="inlineStr">
        <is>
          <t>Atlanta, Ga. : Scholars Press, c1991.</t>
        </is>
      </c>
      <c r="O221" t="inlineStr">
        <is>
          <t>1991</t>
        </is>
      </c>
      <c r="Q221" t="inlineStr">
        <is>
          <t>eng</t>
        </is>
      </c>
      <c r="R221" t="inlineStr">
        <is>
          <t>gau</t>
        </is>
      </c>
      <c r="S221" t="inlineStr">
        <is>
          <t>Scholars Press studies in the humanities series ; no. 15</t>
        </is>
      </c>
      <c r="T221" t="inlineStr">
        <is>
          <t xml:space="preserve">BL </t>
        </is>
      </c>
      <c r="U221" t="n">
        <v>4</v>
      </c>
      <c r="V221" t="n">
        <v>4</v>
      </c>
      <c r="W221" t="inlineStr">
        <is>
          <t>1996-09-09</t>
        </is>
      </c>
      <c r="X221" t="inlineStr">
        <is>
          <t>1996-09-09</t>
        </is>
      </c>
      <c r="Y221" t="inlineStr">
        <is>
          <t>1991-08-20</t>
        </is>
      </c>
      <c r="Z221" t="inlineStr">
        <is>
          <t>1991-08-20</t>
        </is>
      </c>
      <c r="AA221" t="n">
        <v>328</v>
      </c>
      <c r="AB221" t="n">
        <v>266</v>
      </c>
      <c r="AC221" t="n">
        <v>268</v>
      </c>
      <c r="AD221" t="n">
        <v>1</v>
      </c>
      <c r="AE221" t="n">
        <v>1</v>
      </c>
      <c r="AF221" t="n">
        <v>26</v>
      </c>
      <c r="AG221" t="n">
        <v>26</v>
      </c>
      <c r="AH221" t="n">
        <v>10</v>
      </c>
      <c r="AI221" t="n">
        <v>10</v>
      </c>
      <c r="AJ221" t="n">
        <v>5</v>
      </c>
      <c r="AK221" t="n">
        <v>5</v>
      </c>
      <c r="AL221" t="n">
        <v>18</v>
      </c>
      <c r="AM221" t="n">
        <v>18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HYPERLINK("http://catalog.hathitrust.org/Record/002503173","HathiTrust Record")</f>
        <v/>
      </c>
      <c r="AU221">
        <f>HYPERLINK("https://creighton-primo.hosted.exlibrisgroup.com/primo-explore/search?tab=default_tab&amp;search_scope=EVERYTHING&amp;vid=01CRU&amp;lang=en_US&amp;offset=0&amp;query=any,contains,991001814309702656","Catalog Record")</f>
        <v/>
      </c>
      <c r="AV221">
        <f>HYPERLINK("http://www.worldcat.org/oclc/22767592","WorldCat Record")</f>
        <v/>
      </c>
      <c r="AW221" t="inlineStr">
        <is>
          <t>889837434:eng</t>
        </is>
      </c>
      <c r="AX221" t="inlineStr">
        <is>
          <t>22767592</t>
        </is>
      </c>
      <c r="AY221" t="inlineStr">
        <is>
          <t>991001814309702656</t>
        </is>
      </c>
      <c r="AZ221" t="inlineStr">
        <is>
          <t>991001814309702656</t>
        </is>
      </c>
      <c r="BA221" t="inlineStr">
        <is>
          <t>2261500740002656</t>
        </is>
      </c>
      <c r="BB221" t="inlineStr">
        <is>
          <t>BOOK</t>
        </is>
      </c>
      <c r="BD221" t="inlineStr">
        <is>
          <t>9781555405984</t>
        </is>
      </c>
      <c r="BE221" t="inlineStr">
        <is>
          <t>32285000701267</t>
        </is>
      </c>
      <c r="BF221" t="inlineStr">
        <is>
          <t>893433160</t>
        </is>
      </c>
    </row>
    <row r="222">
      <c r="A222" t="inlineStr">
        <is>
          <t>No</t>
        </is>
      </c>
      <c r="B222" t="inlineStr">
        <is>
          <t>CURAL</t>
        </is>
      </c>
      <c r="C222" t="inlineStr">
        <is>
          <t>SHELVES</t>
        </is>
      </c>
      <c r="D222" t="inlineStr">
        <is>
          <t>BL41 .T73 1991</t>
        </is>
      </c>
      <c r="E222" t="inlineStr">
        <is>
          <t>0                      BL 0041000T  73          1991</t>
        </is>
      </c>
      <c r="F222" t="inlineStr">
        <is>
          <t>Tracing common themes : comparative courses in the study of religion / edited by John B. Carman, Steven P. Hopkins.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N222" t="inlineStr">
        <is>
          <t>Atlanta, Ga. : Scholars Press, c1991.</t>
        </is>
      </c>
      <c r="O222" t="inlineStr">
        <is>
          <t>1991</t>
        </is>
      </c>
      <c r="Q222" t="inlineStr">
        <is>
          <t>eng</t>
        </is>
      </c>
      <c r="R222" t="inlineStr">
        <is>
          <t>gau</t>
        </is>
      </c>
      <c r="S222" t="inlineStr">
        <is>
          <t>Scholars Press studies in the humanities ; 16</t>
        </is>
      </c>
      <c r="T222" t="inlineStr">
        <is>
          <t xml:space="preserve">BL </t>
        </is>
      </c>
      <c r="U222" t="n">
        <v>1</v>
      </c>
      <c r="V222" t="n">
        <v>1</v>
      </c>
      <c r="W222" t="inlineStr">
        <is>
          <t>2008-03-06</t>
        </is>
      </c>
      <c r="X222" t="inlineStr">
        <is>
          <t>2008-03-06</t>
        </is>
      </c>
      <c r="Y222" t="inlineStr">
        <is>
          <t>1994-01-07</t>
        </is>
      </c>
      <c r="Z222" t="inlineStr">
        <is>
          <t>1994-01-07</t>
        </is>
      </c>
      <c r="AA222" t="n">
        <v>217</v>
      </c>
      <c r="AB222" t="n">
        <v>176</v>
      </c>
      <c r="AC222" t="n">
        <v>181</v>
      </c>
      <c r="AD222" t="n">
        <v>2</v>
      </c>
      <c r="AE222" t="n">
        <v>2</v>
      </c>
      <c r="AF222" t="n">
        <v>12</v>
      </c>
      <c r="AG222" t="n">
        <v>12</v>
      </c>
      <c r="AH222" t="n">
        <v>4</v>
      </c>
      <c r="AI222" t="n">
        <v>4</v>
      </c>
      <c r="AJ222" t="n">
        <v>1</v>
      </c>
      <c r="AK222" t="n">
        <v>1</v>
      </c>
      <c r="AL222" t="n">
        <v>8</v>
      </c>
      <c r="AM222" t="n">
        <v>8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HYPERLINK("http://catalog.hathitrust.org/Record/101936978","HathiTrust Record")</f>
        <v/>
      </c>
      <c r="AU222">
        <f>HYPERLINK("https://creighton-primo.hosted.exlibrisgroup.com/primo-explore/search?tab=default_tab&amp;search_scope=EVERYTHING&amp;vid=01CRU&amp;lang=en_US&amp;offset=0&amp;query=any,contains,991001933839702656","Catalog Record")</f>
        <v/>
      </c>
      <c r="AV222">
        <f>HYPERLINK("http://www.worldcat.org/oclc/24429859","WorldCat Record")</f>
        <v/>
      </c>
      <c r="AW222" t="inlineStr">
        <is>
          <t>25167053:eng</t>
        </is>
      </c>
      <c r="AX222" t="inlineStr">
        <is>
          <t>24429859</t>
        </is>
      </c>
      <c r="AY222" t="inlineStr">
        <is>
          <t>991001933839702656</t>
        </is>
      </c>
      <c r="AZ222" t="inlineStr">
        <is>
          <t>991001933839702656</t>
        </is>
      </c>
      <c r="BA222" t="inlineStr">
        <is>
          <t>2258420020002656</t>
        </is>
      </c>
      <c r="BB222" t="inlineStr">
        <is>
          <t>BOOK</t>
        </is>
      </c>
      <c r="BD222" t="inlineStr">
        <is>
          <t>9781555405632</t>
        </is>
      </c>
      <c r="BE222" t="inlineStr">
        <is>
          <t>32285001830198</t>
        </is>
      </c>
      <c r="BF222" t="inlineStr">
        <is>
          <t>893791856</t>
        </is>
      </c>
    </row>
    <row r="223">
      <c r="A223" t="inlineStr">
        <is>
          <t>No</t>
        </is>
      </c>
      <c r="B223" t="inlineStr">
        <is>
          <t>CURAL</t>
        </is>
      </c>
      <c r="C223" t="inlineStr">
        <is>
          <t>SHELVES</t>
        </is>
      </c>
      <c r="D223" t="inlineStr">
        <is>
          <t>BL41 .V713</t>
        </is>
      </c>
      <c r="E223" t="inlineStr">
        <is>
          <t>0                      BL 0041000V  713</t>
        </is>
      </c>
      <c r="F223" t="inlineStr">
        <is>
          <t>The study of religion; a historical approach. Translated with an introd. by Kees W. Bolle.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Vries, Jan de, 1890-1964.</t>
        </is>
      </c>
      <c r="N223" t="inlineStr">
        <is>
          <t>New York, Harcourt, Brace &amp; World [1967]</t>
        </is>
      </c>
      <c r="O223" t="inlineStr">
        <is>
          <t>1967</t>
        </is>
      </c>
      <c r="Q223" t="inlineStr">
        <is>
          <t>eng</t>
        </is>
      </c>
      <c r="R223" t="inlineStr">
        <is>
          <t>nyu</t>
        </is>
      </c>
      <c r="T223" t="inlineStr">
        <is>
          <t xml:space="preserve">BL </t>
        </is>
      </c>
      <c r="U223" t="n">
        <v>3</v>
      </c>
      <c r="V223" t="n">
        <v>3</v>
      </c>
      <c r="W223" t="inlineStr">
        <is>
          <t>1993-09-13</t>
        </is>
      </c>
      <c r="X223" t="inlineStr">
        <is>
          <t>1993-09-13</t>
        </is>
      </c>
      <c r="Y223" t="inlineStr">
        <is>
          <t>1990-09-21</t>
        </is>
      </c>
      <c r="Z223" t="inlineStr">
        <is>
          <t>1990-09-21</t>
        </is>
      </c>
      <c r="AA223" t="n">
        <v>551</v>
      </c>
      <c r="AB223" t="n">
        <v>464</v>
      </c>
      <c r="AC223" t="n">
        <v>470</v>
      </c>
      <c r="AD223" t="n">
        <v>3</v>
      </c>
      <c r="AE223" t="n">
        <v>3</v>
      </c>
      <c r="AF223" t="n">
        <v>29</v>
      </c>
      <c r="AG223" t="n">
        <v>29</v>
      </c>
      <c r="AH223" t="n">
        <v>14</v>
      </c>
      <c r="AI223" t="n">
        <v>14</v>
      </c>
      <c r="AJ223" t="n">
        <v>4</v>
      </c>
      <c r="AK223" t="n">
        <v>4</v>
      </c>
      <c r="AL223" t="n">
        <v>19</v>
      </c>
      <c r="AM223" t="n">
        <v>19</v>
      </c>
      <c r="AN223" t="n">
        <v>2</v>
      </c>
      <c r="AO223" t="n">
        <v>2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HYPERLINK("http://catalog.hathitrust.org/Record/009496792","HathiTrust Record")</f>
        <v/>
      </c>
      <c r="AU223">
        <f>HYPERLINK("https://creighton-primo.hosted.exlibrisgroup.com/primo-explore/search?tab=default_tab&amp;search_scope=EVERYTHING&amp;vid=01CRU&amp;lang=en_US&amp;offset=0&amp;query=any,contains,991002723679702656","Catalog Record")</f>
        <v/>
      </c>
      <c r="AV223">
        <f>HYPERLINK("http://www.worldcat.org/oclc/413702","WorldCat Record")</f>
        <v/>
      </c>
      <c r="AW223" t="inlineStr">
        <is>
          <t>5090984293:eng</t>
        </is>
      </c>
      <c r="AX223" t="inlineStr">
        <is>
          <t>413702</t>
        </is>
      </c>
      <c r="AY223" t="inlineStr">
        <is>
          <t>991002723679702656</t>
        </is>
      </c>
      <c r="AZ223" t="inlineStr">
        <is>
          <t>991002723679702656</t>
        </is>
      </c>
      <c r="BA223" t="inlineStr">
        <is>
          <t>2268035410002656</t>
        </is>
      </c>
      <c r="BB223" t="inlineStr">
        <is>
          <t>BOOK</t>
        </is>
      </c>
      <c r="BE223" t="inlineStr">
        <is>
          <t>32285000307636</t>
        </is>
      </c>
      <c r="BF223" t="inlineStr">
        <is>
          <t>893517663</t>
        </is>
      </c>
    </row>
    <row r="224">
      <c r="A224" t="inlineStr">
        <is>
          <t>No</t>
        </is>
      </c>
      <c r="B224" t="inlineStr">
        <is>
          <t>CURAL</t>
        </is>
      </c>
      <c r="C224" t="inlineStr">
        <is>
          <t>SHELVES</t>
        </is>
      </c>
      <c r="D224" t="inlineStr">
        <is>
          <t>BL41 .W335 1988</t>
        </is>
      </c>
      <c r="E224" t="inlineStr">
        <is>
          <t>0                      BL 0041000W  335         1988</t>
        </is>
      </c>
      <c r="F224" t="inlineStr">
        <is>
          <t>Introduction to the history of religions / Joachim Wach ; edited by Joseph M. Kitagawa and Gregory D. Alles, with the collaboration of Karl W. Luckert.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Wach, Joachim, 1898-1955.</t>
        </is>
      </c>
      <c r="N224" t="inlineStr">
        <is>
          <t>New York : Macmillan ; London : Collier Macmillan, c1988.</t>
        </is>
      </c>
      <c r="O224" t="inlineStr">
        <is>
          <t>1988</t>
        </is>
      </c>
      <c r="Q224" t="inlineStr">
        <is>
          <t>eng</t>
        </is>
      </c>
      <c r="R224" t="inlineStr">
        <is>
          <t>nyu</t>
        </is>
      </c>
      <c r="T224" t="inlineStr">
        <is>
          <t xml:space="preserve">BL </t>
        </is>
      </c>
      <c r="U224" t="n">
        <v>4</v>
      </c>
      <c r="V224" t="n">
        <v>4</v>
      </c>
      <c r="W224" t="inlineStr">
        <is>
          <t>1993-09-13</t>
        </is>
      </c>
      <c r="X224" t="inlineStr">
        <is>
          <t>1993-09-13</t>
        </is>
      </c>
      <c r="Y224" t="inlineStr">
        <is>
          <t>1990-01-15</t>
        </is>
      </c>
      <c r="Z224" t="inlineStr">
        <is>
          <t>1990-01-15</t>
        </is>
      </c>
      <c r="AA224" t="n">
        <v>631</v>
      </c>
      <c r="AB224" t="n">
        <v>568</v>
      </c>
      <c r="AC224" t="n">
        <v>577</v>
      </c>
      <c r="AD224" t="n">
        <v>6</v>
      </c>
      <c r="AE224" t="n">
        <v>6</v>
      </c>
      <c r="AF224" t="n">
        <v>36</v>
      </c>
      <c r="AG224" t="n">
        <v>36</v>
      </c>
      <c r="AH224" t="n">
        <v>16</v>
      </c>
      <c r="AI224" t="n">
        <v>16</v>
      </c>
      <c r="AJ224" t="n">
        <v>9</v>
      </c>
      <c r="AK224" t="n">
        <v>9</v>
      </c>
      <c r="AL224" t="n">
        <v>16</v>
      </c>
      <c r="AM224" t="n">
        <v>16</v>
      </c>
      <c r="AN224" t="n">
        <v>5</v>
      </c>
      <c r="AO224" t="n">
        <v>5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HYPERLINK("http://catalog.hathitrust.org/Record/001081004","HathiTrust Record")</f>
        <v/>
      </c>
      <c r="AU224">
        <f>HYPERLINK("https://creighton-primo.hosted.exlibrisgroup.com/primo-explore/search?tab=default_tab&amp;search_scope=EVERYTHING&amp;vid=01CRU&amp;lang=en_US&amp;offset=0&amp;query=any,contains,991001101059702656","Catalog Record")</f>
        <v/>
      </c>
      <c r="AV224">
        <f>HYPERLINK("http://www.worldcat.org/oclc/16353125","WorldCat Record")</f>
        <v/>
      </c>
      <c r="AW224" t="inlineStr">
        <is>
          <t>11874266:eng</t>
        </is>
      </c>
      <c r="AX224" t="inlineStr">
        <is>
          <t>16353125</t>
        </is>
      </c>
      <c r="AY224" t="inlineStr">
        <is>
          <t>991001101059702656</t>
        </is>
      </c>
      <c r="AZ224" t="inlineStr">
        <is>
          <t>991001101059702656</t>
        </is>
      </c>
      <c r="BA224" t="inlineStr">
        <is>
          <t>2256519700002656</t>
        </is>
      </c>
      <c r="BB224" t="inlineStr">
        <is>
          <t>BOOK</t>
        </is>
      </c>
      <c r="BD224" t="inlineStr">
        <is>
          <t>9780029335307</t>
        </is>
      </c>
      <c r="BE224" t="inlineStr">
        <is>
          <t>32285000028323</t>
        </is>
      </c>
      <c r="BF224" t="inlineStr">
        <is>
          <t>893784813</t>
        </is>
      </c>
    </row>
    <row r="225">
      <c r="A225" t="inlineStr">
        <is>
          <t>No</t>
        </is>
      </c>
      <c r="B225" t="inlineStr">
        <is>
          <t>CURAL</t>
        </is>
      </c>
      <c r="C225" t="inlineStr">
        <is>
          <t>SHELVES</t>
        </is>
      </c>
      <c r="D225" t="inlineStr">
        <is>
          <t>BL41 .W5 1982</t>
        </is>
      </c>
      <c r="E225" t="inlineStr">
        <is>
          <t>0                      BL 0041000W  5           1982</t>
        </is>
      </c>
      <c r="F225" t="inlineStr">
        <is>
          <t>Research guide to religious studies / John F. Wilson and Thomas P. Slavens.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Wilson, John F. (John Frederick)</t>
        </is>
      </c>
      <c r="N225" t="inlineStr">
        <is>
          <t>Chicago : American Library Association, 1982.</t>
        </is>
      </c>
      <c r="O225" t="inlineStr">
        <is>
          <t>1982</t>
        </is>
      </c>
      <c r="Q225" t="inlineStr">
        <is>
          <t>eng</t>
        </is>
      </c>
      <c r="R225" t="inlineStr">
        <is>
          <t>ilu</t>
        </is>
      </c>
      <c r="S225" t="inlineStr">
        <is>
          <t>Sources of information in the humanities ; no. 1</t>
        </is>
      </c>
      <c r="T225" t="inlineStr">
        <is>
          <t xml:space="preserve">BL </t>
        </is>
      </c>
      <c r="U225" t="n">
        <v>2</v>
      </c>
      <c r="V225" t="n">
        <v>2</v>
      </c>
      <c r="W225" t="inlineStr">
        <is>
          <t>1997-07-01</t>
        </is>
      </c>
      <c r="X225" t="inlineStr">
        <is>
          <t>1997-07-01</t>
        </is>
      </c>
      <c r="Y225" t="inlineStr">
        <is>
          <t>1996-12-30</t>
        </is>
      </c>
      <c r="Z225" t="inlineStr">
        <is>
          <t>1996-12-30</t>
        </is>
      </c>
      <c r="AA225" t="n">
        <v>787</v>
      </c>
      <c r="AB225" t="n">
        <v>640</v>
      </c>
      <c r="AC225" t="n">
        <v>641</v>
      </c>
      <c r="AD225" t="n">
        <v>4</v>
      </c>
      <c r="AE225" t="n">
        <v>4</v>
      </c>
      <c r="AF225" t="n">
        <v>29</v>
      </c>
      <c r="AG225" t="n">
        <v>29</v>
      </c>
      <c r="AH225" t="n">
        <v>11</v>
      </c>
      <c r="AI225" t="n">
        <v>11</v>
      </c>
      <c r="AJ225" t="n">
        <v>5</v>
      </c>
      <c r="AK225" t="n">
        <v>5</v>
      </c>
      <c r="AL225" t="n">
        <v>16</v>
      </c>
      <c r="AM225" t="n">
        <v>16</v>
      </c>
      <c r="AN225" t="n">
        <v>3</v>
      </c>
      <c r="AO225" t="n">
        <v>3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HYPERLINK("http://catalog.hathitrust.org/Record/000145295","HathiTrust Record")</f>
        <v/>
      </c>
      <c r="AU225">
        <f>HYPERLINK("https://creighton-primo.hosted.exlibrisgroup.com/primo-explore/search?tab=default_tab&amp;search_scope=EVERYTHING&amp;vid=01CRU&amp;lang=en_US&amp;offset=0&amp;query=any,contains,991005208419702656","Catalog Record")</f>
        <v/>
      </c>
      <c r="AV225">
        <f>HYPERLINK("http://www.worldcat.org/oclc/8133395","WorldCat Record")</f>
        <v/>
      </c>
      <c r="AW225" t="inlineStr">
        <is>
          <t>503900:eng</t>
        </is>
      </c>
      <c r="AX225" t="inlineStr">
        <is>
          <t>8133395</t>
        </is>
      </c>
      <c r="AY225" t="inlineStr">
        <is>
          <t>991005208419702656</t>
        </is>
      </c>
      <c r="AZ225" t="inlineStr">
        <is>
          <t>991005208419702656</t>
        </is>
      </c>
      <c r="BA225" t="inlineStr">
        <is>
          <t>2265362440002656</t>
        </is>
      </c>
      <c r="BB225" t="inlineStr">
        <is>
          <t>BOOK</t>
        </is>
      </c>
      <c r="BD225" t="inlineStr">
        <is>
          <t>9780838903308</t>
        </is>
      </c>
      <c r="BE225" t="inlineStr">
        <is>
          <t>32285002402641</t>
        </is>
      </c>
      <c r="BF225" t="inlineStr">
        <is>
          <t>893533366</t>
        </is>
      </c>
    </row>
    <row r="226">
      <c r="A226" t="inlineStr">
        <is>
          <t>No</t>
        </is>
      </c>
      <c r="B226" t="inlineStr">
        <is>
          <t>CURAL</t>
        </is>
      </c>
      <c r="C226" t="inlineStr">
        <is>
          <t>SHELVES</t>
        </is>
      </c>
      <c r="D226" t="inlineStr">
        <is>
          <t>BL410 .C68 1985</t>
        </is>
      </c>
      <c r="E226" t="inlineStr">
        <is>
          <t>0                      BL 0410000C  68          1985</t>
        </is>
      </c>
      <c r="F226" t="inlineStr">
        <is>
          <t>Pluralism : challenge to world religions / Harold Coward.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Coward, Harold G.</t>
        </is>
      </c>
      <c r="N226" t="inlineStr">
        <is>
          <t>Maryknoll, N.Y. : Orbis Books, c1985.</t>
        </is>
      </c>
      <c r="O226" t="inlineStr">
        <is>
          <t>1985</t>
        </is>
      </c>
      <c r="Q226" t="inlineStr">
        <is>
          <t>eng</t>
        </is>
      </c>
      <c r="R226" t="inlineStr">
        <is>
          <t>nyu</t>
        </is>
      </c>
      <c r="T226" t="inlineStr">
        <is>
          <t xml:space="preserve">BL </t>
        </is>
      </c>
      <c r="U226" t="n">
        <v>4</v>
      </c>
      <c r="V226" t="n">
        <v>4</v>
      </c>
      <c r="W226" t="inlineStr">
        <is>
          <t>2001-11-17</t>
        </is>
      </c>
      <c r="X226" t="inlineStr">
        <is>
          <t>2001-11-17</t>
        </is>
      </c>
      <c r="Y226" t="inlineStr">
        <is>
          <t>1990-05-03</t>
        </is>
      </c>
      <c r="Z226" t="inlineStr">
        <is>
          <t>1990-05-03</t>
        </is>
      </c>
      <c r="AA226" t="n">
        <v>587</v>
      </c>
      <c r="AB226" t="n">
        <v>474</v>
      </c>
      <c r="AC226" t="n">
        <v>479</v>
      </c>
      <c r="AD226" t="n">
        <v>4</v>
      </c>
      <c r="AE226" t="n">
        <v>4</v>
      </c>
      <c r="AF226" t="n">
        <v>31</v>
      </c>
      <c r="AG226" t="n">
        <v>31</v>
      </c>
      <c r="AH226" t="n">
        <v>11</v>
      </c>
      <c r="AI226" t="n">
        <v>11</v>
      </c>
      <c r="AJ226" t="n">
        <v>7</v>
      </c>
      <c r="AK226" t="n">
        <v>7</v>
      </c>
      <c r="AL226" t="n">
        <v>17</v>
      </c>
      <c r="AM226" t="n">
        <v>17</v>
      </c>
      <c r="AN226" t="n">
        <v>3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HYPERLINK("http://catalog.hathitrust.org/Record/000455993","HathiTrust Record")</f>
        <v/>
      </c>
      <c r="AU226">
        <f>HYPERLINK("https://creighton-primo.hosted.exlibrisgroup.com/primo-explore/search?tab=default_tab&amp;search_scope=EVERYTHING&amp;vid=01CRU&amp;lang=en_US&amp;offset=0&amp;query=any,contains,991000458339702656","Catalog Record")</f>
        <v/>
      </c>
      <c r="AV226">
        <f>HYPERLINK("http://www.worldcat.org/oclc/10923567","WorldCat Record")</f>
        <v/>
      </c>
      <c r="AW226" t="inlineStr">
        <is>
          <t>3348996:eng</t>
        </is>
      </c>
      <c r="AX226" t="inlineStr">
        <is>
          <t>10923567</t>
        </is>
      </c>
      <c r="AY226" t="inlineStr">
        <is>
          <t>991000458339702656</t>
        </is>
      </c>
      <c r="AZ226" t="inlineStr">
        <is>
          <t>991000458339702656</t>
        </is>
      </c>
      <c r="BA226" t="inlineStr">
        <is>
          <t>2270095540002656</t>
        </is>
      </c>
      <c r="BB226" t="inlineStr">
        <is>
          <t>BOOK</t>
        </is>
      </c>
      <c r="BD226" t="inlineStr">
        <is>
          <t>9780883447109</t>
        </is>
      </c>
      <c r="BE226" t="inlineStr">
        <is>
          <t>32285000147313</t>
        </is>
      </c>
      <c r="BF226" t="inlineStr">
        <is>
          <t>893808689</t>
        </is>
      </c>
    </row>
    <row r="227">
      <c r="A227" t="inlineStr">
        <is>
          <t>No</t>
        </is>
      </c>
      <c r="B227" t="inlineStr">
        <is>
          <t>CURAL</t>
        </is>
      </c>
      <c r="C227" t="inlineStr">
        <is>
          <t>SHELVES</t>
        </is>
      </c>
      <c r="D227" t="inlineStr">
        <is>
          <t>BL410 .D42 1990</t>
        </is>
      </c>
      <c r="E227" t="inlineStr">
        <is>
          <t>0                      BL 0410000D  42          1990</t>
        </is>
      </c>
      <c r="F227" t="inlineStr">
        <is>
          <t>Death or dialogue? : from the age of monologue to the age of dialogue / Leonard Swidler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Philadelphia : Trinity Press International ; London : SCM Press, 1990.</t>
        </is>
      </c>
      <c r="O227" t="inlineStr">
        <is>
          <t>1990</t>
        </is>
      </c>
      <c r="Q227" t="inlineStr">
        <is>
          <t>eng</t>
        </is>
      </c>
      <c r="R227" t="inlineStr">
        <is>
          <t>pau</t>
        </is>
      </c>
      <c r="T227" t="inlineStr">
        <is>
          <t xml:space="preserve">BL </t>
        </is>
      </c>
      <c r="U227" t="n">
        <v>5</v>
      </c>
      <c r="V227" t="n">
        <v>5</v>
      </c>
      <c r="W227" t="inlineStr">
        <is>
          <t>2003-06-12</t>
        </is>
      </c>
      <c r="X227" t="inlineStr">
        <is>
          <t>2003-06-12</t>
        </is>
      </c>
      <c r="Y227" t="inlineStr">
        <is>
          <t>1992-05-28</t>
        </is>
      </c>
      <c r="Z227" t="inlineStr">
        <is>
          <t>1992-05-28</t>
        </is>
      </c>
      <c r="AA227" t="n">
        <v>270</v>
      </c>
      <c r="AB227" t="n">
        <v>204</v>
      </c>
      <c r="AC227" t="n">
        <v>207</v>
      </c>
      <c r="AD227" t="n">
        <v>2</v>
      </c>
      <c r="AE227" t="n">
        <v>2</v>
      </c>
      <c r="AF227" t="n">
        <v>20</v>
      </c>
      <c r="AG227" t="n">
        <v>20</v>
      </c>
      <c r="AH227" t="n">
        <v>7</v>
      </c>
      <c r="AI227" t="n">
        <v>7</v>
      </c>
      <c r="AJ227" t="n">
        <v>8</v>
      </c>
      <c r="AK227" t="n">
        <v>8</v>
      </c>
      <c r="AL227" t="n">
        <v>12</v>
      </c>
      <c r="AM227" t="n">
        <v>12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HYPERLINK("http://catalog.hathitrust.org/Record/002167572","HathiTrust Record")</f>
        <v/>
      </c>
      <c r="AU227">
        <f>HYPERLINK("https://creighton-primo.hosted.exlibrisgroup.com/primo-explore/search?tab=default_tab&amp;search_scope=EVERYTHING&amp;vid=01CRU&amp;lang=en_US&amp;offset=0&amp;query=any,contains,991001655039702656","Catalog Record")</f>
        <v/>
      </c>
      <c r="AV227">
        <f>HYPERLINK("http://www.worldcat.org/oclc/21118784","WorldCat Record")</f>
        <v/>
      </c>
      <c r="AW227" t="inlineStr">
        <is>
          <t>836851263:eng</t>
        </is>
      </c>
      <c r="AX227" t="inlineStr">
        <is>
          <t>21118784</t>
        </is>
      </c>
      <c r="AY227" t="inlineStr">
        <is>
          <t>991001655039702656</t>
        </is>
      </c>
      <c r="AZ227" t="inlineStr">
        <is>
          <t>991001655039702656</t>
        </is>
      </c>
      <c r="BA227" t="inlineStr">
        <is>
          <t>2261549050002656</t>
        </is>
      </c>
      <c r="BB227" t="inlineStr">
        <is>
          <t>BOOK</t>
        </is>
      </c>
      <c r="BD227" t="inlineStr">
        <is>
          <t>9780334024453</t>
        </is>
      </c>
      <c r="BE227" t="inlineStr">
        <is>
          <t>32285001119253</t>
        </is>
      </c>
      <c r="BF227" t="inlineStr">
        <is>
          <t>893785285</t>
        </is>
      </c>
    </row>
    <row r="228">
      <c r="A228" t="inlineStr">
        <is>
          <t>No</t>
        </is>
      </c>
      <c r="B228" t="inlineStr">
        <is>
          <t>CURAL</t>
        </is>
      </c>
      <c r="C228" t="inlineStr">
        <is>
          <t>SHELVES</t>
        </is>
      </c>
      <c r="D228" t="inlineStr">
        <is>
          <t>BL42 .E39 1982</t>
        </is>
      </c>
      <c r="E228" t="inlineStr">
        <is>
          <t>0                      BL 0042000E  39          1982</t>
        </is>
      </c>
      <c r="F228" t="inlineStr">
        <is>
          <t>The foundations and practice of adult religious education / by John L. Elias.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Elias, John L., 1933-</t>
        </is>
      </c>
      <c r="N228" t="inlineStr">
        <is>
          <t>Malabar, Fla. : R.E. Krieger Pub. Co., 1982.</t>
        </is>
      </c>
      <c r="O228" t="inlineStr">
        <is>
          <t>1982</t>
        </is>
      </c>
      <c r="Q228" t="inlineStr">
        <is>
          <t>eng</t>
        </is>
      </c>
      <c r="R228" t="inlineStr">
        <is>
          <t>flu</t>
        </is>
      </c>
      <c r="T228" t="inlineStr">
        <is>
          <t xml:space="preserve">BL </t>
        </is>
      </c>
      <c r="U228" t="n">
        <v>2</v>
      </c>
      <c r="V228" t="n">
        <v>2</v>
      </c>
      <c r="W228" t="inlineStr">
        <is>
          <t>1995-11-03</t>
        </is>
      </c>
      <c r="X228" t="inlineStr">
        <is>
          <t>1995-11-03</t>
        </is>
      </c>
      <c r="Y228" t="inlineStr">
        <is>
          <t>1990-09-21</t>
        </is>
      </c>
      <c r="Z228" t="inlineStr">
        <is>
          <t>1990-09-21</t>
        </is>
      </c>
      <c r="AA228" t="n">
        <v>300</v>
      </c>
      <c r="AB228" t="n">
        <v>242</v>
      </c>
      <c r="AC228" t="n">
        <v>302</v>
      </c>
      <c r="AD228" t="n">
        <v>3</v>
      </c>
      <c r="AE228" t="n">
        <v>3</v>
      </c>
      <c r="AF228" t="n">
        <v>19</v>
      </c>
      <c r="AG228" t="n">
        <v>23</v>
      </c>
      <c r="AH228" t="n">
        <v>7</v>
      </c>
      <c r="AI228" t="n">
        <v>8</v>
      </c>
      <c r="AJ228" t="n">
        <v>3</v>
      </c>
      <c r="AK228" t="n">
        <v>4</v>
      </c>
      <c r="AL228" t="n">
        <v>11</v>
      </c>
      <c r="AM228" t="n">
        <v>14</v>
      </c>
      <c r="AN228" t="n">
        <v>2</v>
      </c>
      <c r="AO228" t="n">
        <v>2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HYPERLINK("http://catalog.hathitrust.org/Record/009124331","HathiTrust Record")</f>
        <v/>
      </c>
      <c r="AU228">
        <f>HYPERLINK("https://creighton-primo.hosted.exlibrisgroup.com/primo-explore/search?tab=default_tab&amp;search_scope=EVERYTHING&amp;vid=01CRU&amp;lang=en_US&amp;offset=0&amp;query=any,contains,991005225229702656","Catalog Record")</f>
        <v/>
      </c>
      <c r="AV228">
        <f>HYPERLINK("http://www.worldcat.org/oclc/8280947","WorldCat Record")</f>
        <v/>
      </c>
      <c r="AW228" t="inlineStr">
        <is>
          <t>18265879:eng</t>
        </is>
      </c>
      <c r="AX228" t="inlineStr">
        <is>
          <t>8280947</t>
        </is>
      </c>
      <c r="AY228" t="inlineStr">
        <is>
          <t>991005225229702656</t>
        </is>
      </c>
      <c r="AZ228" t="inlineStr">
        <is>
          <t>991005225229702656</t>
        </is>
      </c>
      <c r="BA228" t="inlineStr">
        <is>
          <t>2257605530002656</t>
        </is>
      </c>
      <c r="BB228" t="inlineStr">
        <is>
          <t>BOOK</t>
        </is>
      </c>
      <c r="BD228" t="inlineStr">
        <is>
          <t>9780898743395</t>
        </is>
      </c>
      <c r="BE228" t="inlineStr">
        <is>
          <t>32285000307685</t>
        </is>
      </c>
      <c r="BF228" t="inlineStr">
        <is>
          <t>893260763</t>
        </is>
      </c>
    </row>
    <row r="229">
      <c r="A229" t="inlineStr">
        <is>
          <t>No</t>
        </is>
      </c>
      <c r="B229" t="inlineStr">
        <is>
          <t>CURAL</t>
        </is>
      </c>
      <c r="C229" t="inlineStr">
        <is>
          <t>SHELVES</t>
        </is>
      </c>
      <c r="D229" t="inlineStr">
        <is>
          <t>BL42 .H64</t>
        </is>
      </c>
      <c r="E229" t="inlineStr">
        <is>
          <t>0                      BL 0042000H  64</t>
        </is>
      </c>
      <c r="F229" t="inlineStr">
        <is>
          <t>Religious education and religious understanding : an introduction to the philosophy of religious education / Raymond Holley.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Holley, Raymond.</t>
        </is>
      </c>
      <c r="N229" t="inlineStr">
        <is>
          <t>London ; Boston : Routledge &amp; K. Paul, 1978.</t>
        </is>
      </c>
      <c r="O229" t="inlineStr">
        <is>
          <t>1978</t>
        </is>
      </c>
      <c r="Q229" t="inlineStr">
        <is>
          <t>eng</t>
        </is>
      </c>
      <c r="R229" t="inlineStr">
        <is>
          <t>enk</t>
        </is>
      </c>
      <c r="T229" t="inlineStr">
        <is>
          <t xml:space="preserve">BL </t>
        </is>
      </c>
      <c r="U229" t="n">
        <v>1</v>
      </c>
      <c r="V229" t="n">
        <v>1</v>
      </c>
      <c r="W229" t="inlineStr">
        <is>
          <t>1992-04-14</t>
        </is>
      </c>
      <c r="X229" t="inlineStr">
        <is>
          <t>1992-04-14</t>
        </is>
      </c>
      <c r="Y229" t="inlineStr">
        <is>
          <t>1990-09-21</t>
        </is>
      </c>
      <c r="Z229" t="inlineStr">
        <is>
          <t>1990-09-21</t>
        </is>
      </c>
      <c r="AA229" t="n">
        <v>386</v>
      </c>
      <c r="AB229" t="n">
        <v>238</v>
      </c>
      <c r="AC229" t="n">
        <v>268</v>
      </c>
      <c r="AD229" t="n">
        <v>3</v>
      </c>
      <c r="AE229" t="n">
        <v>3</v>
      </c>
      <c r="AF229" t="n">
        <v>15</v>
      </c>
      <c r="AG229" t="n">
        <v>15</v>
      </c>
      <c r="AH229" t="n">
        <v>4</v>
      </c>
      <c r="AI229" t="n">
        <v>4</v>
      </c>
      <c r="AJ229" t="n">
        <v>3</v>
      </c>
      <c r="AK229" t="n">
        <v>3</v>
      </c>
      <c r="AL229" t="n">
        <v>9</v>
      </c>
      <c r="AM229" t="n">
        <v>9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HYPERLINK("http://catalog.hathitrust.org/Record/000260198","HathiTrust Record")</f>
        <v/>
      </c>
      <c r="AU229">
        <f>HYPERLINK("https://creighton-primo.hosted.exlibrisgroup.com/primo-explore/search?tab=default_tab&amp;search_scope=EVERYTHING&amp;vid=01CRU&amp;lang=en_US&amp;offset=0&amp;query=any,contains,991004696769702656","Catalog Record")</f>
        <v/>
      </c>
      <c r="AV229">
        <f>HYPERLINK("http://www.worldcat.org/oclc/4642123","WorldCat Record")</f>
        <v/>
      </c>
      <c r="AW229" t="inlineStr">
        <is>
          <t>905910151:eng</t>
        </is>
      </c>
      <c r="AX229" t="inlineStr">
        <is>
          <t>4642123</t>
        </is>
      </c>
      <c r="AY229" t="inlineStr">
        <is>
          <t>991004696769702656</t>
        </is>
      </c>
      <c r="AZ229" t="inlineStr">
        <is>
          <t>991004696769702656</t>
        </is>
      </c>
      <c r="BA229" t="inlineStr">
        <is>
          <t>2258004810002656</t>
        </is>
      </c>
      <c r="BB229" t="inlineStr">
        <is>
          <t>BOOK</t>
        </is>
      </c>
      <c r="BD229" t="inlineStr">
        <is>
          <t>9780710089953</t>
        </is>
      </c>
      <c r="BE229" t="inlineStr">
        <is>
          <t>32285000307693</t>
        </is>
      </c>
      <c r="BF229" t="inlineStr">
        <is>
          <t>893260060</t>
        </is>
      </c>
    </row>
    <row r="230">
      <c r="A230" t="inlineStr">
        <is>
          <t>No</t>
        </is>
      </c>
      <c r="B230" t="inlineStr">
        <is>
          <t>CURAL</t>
        </is>
      </c>
      <c r="C230" t="inlineStr">
        <is>
          <t>SHELVES</t>
        </is>
      </c>
      <c r="D230" t="inlineStr">
        <is>
          <t>BL42 .L56 1992</t>
        </is>
      </c>
      <c r="E230" t="inlineStr">
        <is>
          <t>0                      BL 0042000L  56          1992</t>
        </is>
      </c>
      <c r="F230" t="inlineStr">
        <is>
          <t>Functional images of the religious educator / Timothy Arthur Lines.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M230" t="inlineStr">
        <is>
          <t>Lines, Timothy Arthur.</t>
        </is>
      </c>
      <c r="N230" t="inlineStr">
        <is>
          <t>Birmingham, Ala. : Religious Education Press, 1992.</t>
        </is>
      </c>
      <c r="O230" t="inlineStr">
        <is>
          <t>1992</t>
        </is>
      </c>
      <c r="Q230" t="inlineStr">
        <is>
          <t>eng</t>
        </is>
      </c>
      <c r="R230" t="inlineStr">
        <is>
          <t>inu</t>
        </is>
      </c>
      <c r="T230" t="inlineStr">
        <is>
          <t xml:space="preserve">BL </t>
        </is>
      </c>
      <c r="U230" t="n">
        <v>5</v>
      </c>
      <c r="V230" t="n">
        <v>5</v>
      </c>
      <c r="W230" t="inlineStr">
        <is>
          <t>1996-05-30</t>
        </is>
      </c>
      <c r="X230" t="inlineStr">
        <is>
          <t>1996-05-30</t>
        </is>
      </c>
      <c r="Y230" t="inlineStr">
        <is>
          <t>1992-12-11</t>
        </is>
      </c>
      <c r="Z230" t="inlineStr">
        <is>
          <t>1992-12-11</t>
        </is>
      </c>
      <c r="AA230" t="n">
        <v>260</v>
      </c>
      <c r="AB230" t="n">
        <v>218</v>
      </c>
      <c r="AC230" t="n">
        <v>218</v>
      </c>
      <c r="AD230" t="n">
        <v>3</v>
      </c>
      <c r="AE230" t="n">
        <v>3</v>
      </c>
      <c r="AF230" t="n">
        <v>19</v>
      </c>
      <c r="AG230" t="n">
        <v>19</v>
      </c>
      <c r="AH230" t="n">
        <v>9</v>
      </c>
      <c r="AI230" t="n">
        <v>9</v>
      </c>
      <c r="AJ230" t="n">
        <v>2</v>
      </c>
      <c r="AK230" t="n">
        <v>2</v>
      </c>
      <c r="AL230" t="n">
        <v>10</v>
      </c>
      <c r="AM230" t="n">
        <v>10</v>
      </c>
      <c r="AN230" t="n">
        <v>2</v>
      </c>
      <c r="AO230" t="n">
        <v>2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HYPERLINK("https://creighton-primo.hosted.exlibrisgroup.com/primo-explore/search?tab=default_tab&amp;search_scope=EVERYTHING&amp;vid=01CRU&amp;lang=en_US&amp;offset=0&amp;query=any,contains,991002065149702656","Catalog Record")</f>
        <v/>
      </c>
      <c r="AV230">
        <f>HYPERLINK("http://www.worldcat.org/oclc/26401971","WorldCat Record")</f>
        <v/>
      </c>
      <c r="AW230" t="inlineStr">
        <is>
          <t>28607643:eng</t>
        </is>
      </c>
      <c r="AX230" t="inlineStr">
        <is>
          <t>26401971</t>
        </is>
      </c>
      <c r="AY230" t="inlineStr">
        <is>
          <t>991002065149702656</t>
        </is>
      </c>
      <c r="AZ230" t="inlineStr">
        <is>
          <t>991002065149702656</t>
        </is>
      </c>
      <c r="BA230" t="inlineStr">
        <is>
          <t>2265326540002656</t>
        </is>
      </c>
      <c r="BB230" t="inlineStr">
        <is>
          <t>BOOK</t>
        </is>
      </c>
      <c r="BE230" t="inlineStr">
        <is>
          <t>32285001464287</t>
        </is>
      </c>
      <c r="BF230" t="inlineStr">
        <is>
          <t>893529491</t>
        </is>
      </c>
    </row>
    <row r="231">
      <c r="A231" t="inlineStr">
        <is>
          <t>No</t>
        </is>
      </c>
      <c r="B231" t="inlineStr">
        <is>
          <t>CURAL</t>
        </is>
      </c>
      <c r="C231" t="inlineStr">
        <is>
          <t>SHELVES</t>
        </is>
      </c>
      <c r="D231" t="inlineStr">
        <is>
          <t>BL42 .M67 1981</t>
        </is>
      </c>
      <c r="E231" t="inlineStr">
        <is>
          <t>0                      BL 0042000M  67          1981</t>
        </is>
      </c>
      <c r="F231" t="inlineStr">
        <is>
          <t>Interplay : a theory of religion and education / Gabriel Moran.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M231" t="inlineStr">
        <is>
          <t>Moran, Gabriel.</t>
        </is>
      </c>
      <c r="N231" t="inlineStr">
        <is>
          <t>Winona, Minn. : Saint Mary's Press, Christian Brothers Publications, c1981.</t>
        </is>
      </c>
      <c r="O231" t="inlineStr">
        <is>
          <t>1981</t>
        </is>
      </c>
      <c r="Q231" t="inlineStr">
        <is>
          <t>eng</t>
        </is>
      </c>
      <c r="R231" t="inlineStr">
        <is>
          <t>mnu</t>
        </is>
      </c>
      <c r="T231" t="inlineStr">
        <is>
          <t xml:space="preserve">BL </t>
        </is>
      </c>
      <c r="U231" t="n">
        <v>12</v>
      </c>
      <c r="V231" t="n">
        <v>12</v>
      </c>
      <c r="W231" t="inlineStr">
        <is>
          <t>1996-09-12</t>
        </is>
      </c>
      <c r="X231" t="inlineStr">
        <is>
          <t>1996-09-12</t>
        </is>
      </c>
      <c r="Y231" t="inlineStr">
        <is>
          <t>1990-09-21</t>
        </is>
      </c>
      <c r="Z231" t="inlineStr">
        <is>
          <t>1990-09-21</t>
        </is>
      </c>
      <c r="AA231" t="n">
        <v>223</v>
      </c>
      <c r="AB231" t="n">
        <v>178</v>
      </c>
      <c r="AC231" t="n">
        <v>178</v>
      </c>
      <c r="AD231" t="n">
        <v>2</v>
      </c>
      <c r="AE231" t="n">
        <v>2</v>
      </c>
      <c r="AF231" t="n">
        <v>21</v>
      </c>
      <c r="AG231" t="n">
        <v>21</v>
      </c>
      <c r="AH231" t="n">
        <v>4</v>
      </c>
      <c r="AI231" t="n">
        <v>4</v>
      </c>
      <c r="AJ231" t="n">
        <v>8</v>
      </c>
      <c r="AK231" t="n">
        <v>8</v>
      </c>
      <c r="AL231" t="n">
        <v>14</v>
      </c>
      <c r="AM231" t="n">
        <v>14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HYPERLINK("https://creighton-primo.hosted.exlibrisgroup.com/primo-explore/search?tab=default_tab&amp;search_scope=EVERYTHING&amp;vid=01CRU&amp;lang=en_US&amp;offset=0&amp;query=any,contains,991005171019702656","Catalog Record")</f>
        <v/>
      </c>
      <c r="AV231">
        <f>HYPERLINK("http://www.worldcat.org/oclc/7871496","WorldCat Record")</f>
        <v/>
      </c>
      <c r="AW231" t="inlineStr">
        <is>
          <t>545375:eng</t>
        </is>
      </c>
      <c r="AX231" t="inlineStr">
        <is>
          <t>7871496</t>
        </is>
      </c>
      <c r="AY231" t="inlineStr">
        <is>
          <t>991005171019702656</t>
        </is>
      </c>
      <c r="AZ231" t="inlineStr">
        <is>
          <t>991005171019702656</t>
        </is>
      </c>
      <c r="BA231" t="inlineStr">
        <is>
          <t>2265580260002656</t>
        </is>
      </c>
      <c r="BB231" t="inlineStr">
        <is>
          <t>BOOK</t>
        </is>
      </c>
      <c r="BD231" t="inlineStr">
        <is>
          <t>9780884891253</t>
        </is>
      </c>
      <c r="BE231" t="inlineStr">
        <is>
          <t>32285000307701</t>
        </is>
      </c>
      <c r="BF231" t="inlineStr">
        <is>
          <t>893902240</t>
        </is>
      </c>
    </row>
    <row r="232">
      <c r="A232" t="inlineStr">
        <is>
          <t>No</t>
        </is>
      </c>
      <c r="B232" t="inlineStr">
        <is>
          <t>CURAL</t>
        </is>
      </c>
      <c r="C232" t="inlineStr">
        <is>
          <t>SHELVES</t>
        </is>
      </c>
      <c r="D232" t="inlineStr">
        <is>
          <t>BL42 .W53 1991</t>
        </is>
      </c>
      <c r="E232" t="inlineStr">
        <is>
          <t>0                      BL 0042000W  53          1991</t>
        </is>
      </c>
      <c r="F232" t="inlineStr">
        <is>
          <t>Models of adult religious education practice / R.E.Y. Wickett.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M232" t="inlineStr">
        <is>
          <t>Wickett, R. E. Y.</t>
        </is>
      </c>
      <c r="N232" t="inlineStr">
        <is>
          <t>Birmingham, Ala. : Religious Education Press, 1991.</t>
        </is>
      </c>
      <c r="O232" t="inlineStr">
        <is>
          <t>1991</t>
        </is>
      </c>
      <c r="Q232" t="inlineStr">
        <is>
          <t>eng</t>
        </is>
      </c>
      <c r="R232" t="inlineStr">
        <is>
          <t>alu</t>
        </is>
      </c>
      <c r="T232" t="inlineStr">
        <is>
          <t xml:space="preserve">BL </t>
        </is>
      </c>
      <c r="U232" t="n">
        <v>2</v>
      </c>
      <c r="V232" t="n">
        <v>2</v>
      </c>
      <c r="W232" t="inlineStr">
        <is>
          <t>1992-05-12</t>
        </is>
      </c>
      <c r="X232" t="inlineStr">
        <is>
          <t>1992-05-12</t>
        </is>
      </c>
      <c r="Y232" t="inlineStr">
        <is>
          <t>1992-03-17</t>
        </is>
      </c>
      <c r="Z232" t="inlineStr">
        <is>
          <t>1992-03-17</t>
        </is>
      </c>
      <c r="AA232" t="n">
        <v>298</v>
      </c>
      <c r="AB232" t="n">
        <v>247</v>
      </c>
      <c r="AC232" t="n">
        <v>247</v>
      </c>
      <c r="AD232" t="n">
        <v>3</v>
      </c>
      <c r="AE232" t="n">
        <v>3</v>
      </c>
      <c r="AF232" t="n">
        <v>21</v>
      </c>
      <c r="AG232" t="n">
        <v>21</v>
      </c>
      <c r="AH232" t="n">
        <v>10</v>
      </c>
      <c r="AI232" t="n">
        <v>10</v>
      </c>
      <c r="AJ232" t="n">
        <v>3</v>
      </c>
      <c r="AK232" t="n">
        <v>3</v>
      </c>
      <c r="AL232" t="n">
        <v>10</v>
      </c>
      <c r="AM232" t="n">
        <v>10</v>
      </c>
      <c r="AN232" t="n">
        <v>2</v>
      </c>
      <c r="AO232" t="n">
        <v>2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HYPERLINK("https://creighton-primo.hosted.exlibrisgroup.com/primo-explore/search?tab=default_tab&amp;search_scope=EVERYTHING&amp;vid=01CRU&amp;lang=en_US&amp;offset=0&amp;query=any,contains,991001948709702656","Catalog Record")</f>
        <v/>
      </c>
      <c r="AV232">
        <f>HYPERLINK("http://www.worldcat.org/oclc/24629118","WorldCat Record")</f>
        <v/>
      </c>
      <c r="AW232" t="inlineStr">
        <is>
          <t>24973609:eng</t>
        </is>
      </c>
      <c r="AX232" t="inlineStr">
        <is>
          <t>24629118</t>
        </is>
      </c>
      <c r="AY232" t="inlineStr">
        <is>
          <t>991001948709702656</t>
        </is>
      </c>
      <c r="AZ232" t="inlineStr">
        <is>
          <t>991001948709702656</t>
        </is>
      </c>
      <c r="BA232" t="inlineStr">
        <is>
          <t>2258319700002656</t>
        </is>
      </c>
      <c r="BB232" t="inlineStr">
        <is>
          <t>BOOK</t>
        </is>
      </c>
      <c r="BD232" t="inlineStr">
        <is>
          <t>9780891350835</t>
        </is>
      </c>
      <c r="BE232" t="inlineStr">
        <is>
          <t>32285001000453</t>
        </is>
      </c>
      <c r="BF232" t="inlineStr">
        <is>
          <t>893785546</t>
        </is>
      </c>
    </row>
    <row r="233">
      <c r="A233" t="inlineStr">
        <is>
          <t>No</t>
        </is>
      </c>
      <c r="B233" t="inlineStr">
        <is>
          <t>CURAL</t>
        </is>
      </c>
      <c r="C233" t="inlineStr">
        <is>
          <t>SHELVES</t>
        </is>
      </c>
      <c r="D233" t="inlineStr">
        <is>
          <t>BL425 .S6 1966</t>
        </is>
      </c>
      <c r="E233" t="inlineStr">
        <is>
          <t>0                      BL 0425000S  6           1966</t>
        </is>
      </c>
      <c r="F233" t="inlineStr">
        <is>
          <t>World religions : a dialogue / Ninian Smart.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Smart, Ninian, 1927-2001.</t>
        </is>
      </c>
      <c r="N233" t="inlineStr">
        <is>
          <t>Harmondsworth : Penguin, c1960, 1966 printing.</t>
        </is>
      </c>
      <c r="O233" t="inlineStr">
        <is>
          <t>1966</t>
        </is>
      </c>
      <c r="Q233" t="inlineStr">
        <is>
          <t>eng</t>
        </is>
      </c>
      <c r="R233" t="inlineStr">
        <is>
          <t>___</t>
        </is>
      </c>
      <c r="S233" t="inlineStr">
        <is>
          <t>Pelican books ; A786</t>
        </is>
      </c>
      <c r="T233" t="inlineStr">
        <is>
          <t xml:space="preserve">BL </t>
        </is>
      </c>
      <c r="U233" t="n">
        <v>5</v>
      </c>
      <c r="V233" t="n">
        <v>5</v>
      </c>
      <c r="W233" t="inlineStr">
        <is>
          <t>2002-07-07</t>
        </is>
      </c>
      <c r="X233" t="inlineStr">
        <is>
          <t>2002-07-07</t>
        </is>
      </c>
      <c r="Y233" t="inlineStr">
        <is>
          <t>1990-10-08</t>
        </is>
      </c>
      <c r="Z233" t="inlineStr">
        <is>
          <t>1990-10-08</t>
        </is>
      </c>
      <c r="AA233" t="n">
        <v>227</v>
      </c>
      <c r="AB233" t="n">
        <v>150</v>
      </c>
      <c r="AC233" t="n">
        <v>213</v>
      </c>
      <c r="AD233" t="n">
        <v>1</v>
      </c>
      <c r="AE233" t="n">
        <v>2</v>
      </c>
      <c r="AF233" t="n">
        <v>11</v>
      </c>
      <c r="AG233" t="n">
        <v>14</v>
      </c>
      <c r="AH233" t="n">
        <v>4</v>
      </c>
      <c r="AI233" t="n">
        <v>5</v>
      </c>
      <c r="AJ233" t="n">
        <v>0</v>
      </c>
      <c r="AK233" t="n">
        <v>0</v>
      </c>
      <c r="AL233" t="n">
        <v>11</v>
      </c>
      <c r="AM233" t="n">
        <v>12</v>
      </c>
      <c r="AN233" t="n">
        <v>0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HYPERLINK("https://creighton-primo.hosted.exlibrisgroup.com/primo-explore/search?tab=default_tab&amp;search_scope=EVERYTHING&amp;vid=01CRU&amp;lang=en_US&amp;offset=0&amp;query=any,contains,991002078299702656","Catalog Record")</f>
        <v/>
      </c>
      <c r="AV233">
        <f>HYPERLINK("http://www.worldcat.org/oclc/263996","WorldCat Record")</f>
        <v/>
      </c>
      <c r="AW233" t="inlineStr">
        <is>
          <t>5584359641:eng</t>
        </is>
      </c>
      <c r="AX233" t="inlineStr">
        <is>
          <t>263996</t>
        </is>
      </c>
      <c r="AY233" t="inlineStr">
        <is>
          <t>991002078299702656</t>
        </is>
      </c>
      <c r="AZ233" t="inlineStr">
        <is>
          <t>991002078299702656</t>
        </is>
      </c>
      <c r="BA233" t="inlineStr">
        <is>
          <t>2268671510002656</t>
        </is>
      </c>
      <c r="BB233" t="inlineStr">
        <is>
          <t>BOOK</t>
        </is>
      </c>
      <c r="BE233" t="inlineStr">
        <is>
          <t>32285000345446</t>
        </is>
      </c>
      <c r="BF233" t="inlineStr">
        <is>
          <t>893238614</t>
        </is>
      </c>
    </row>
    <row r="234">
      <c r="A234" t="inlineStr">
        <is>
          <t>No</t>
        </is>
      </c>
      <c r="B234" t="inlineStr">
        <is>
          <t>CURAL</t>
        </is>
      </c>
      <c r="C234" t="inlineStr">
        <is>
          <t>SHELVES</t>
        </is>
      </c>
      <c r="D234" t="inlineStr">
        <is>
          <t>BL43.E4 A315 v.1</t>
        </is>
      </c>
      <c r="E234" t="inlineStr">
        <is>
          <t>0                      BL 0043000E  4                  A  315                               v.1</t>
        </is>
      </c>
      <c r="F234" t="inlineStr">
        <is>
          <t>Journey east, journey west, 1907-1937 / Mircea Eliade ; translated from the Romanian by Mac Linscott Ricketts.</t>
        </is>
      </c>
      <c r="G234" t="inlineStr">
        <is>
          <t>V. 1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Eliade, Mircea, 1907-1986.</t>
        </is>
      </c>
      <c r="N234" t="inlineStr">
        <is>
          <t>San Francisco : Harper &amp; Row, c1981.</t>
        </is>
      </c>
      <c r="O234" t="inlineStr">
        <is>
          <t>1981</t>
        </is>
      </c>
      <c r="P234" t="inlineStr">
        <is>
          <t>1st ed.</t>
        </is>
      </c>
      <c r="Q234" t="inlineStr">
        <is>
          <t>eng</t>
        </is>
      </c>
      <c r="R234" t="inlineStr">
        <is>
          <t>cau</t>
        </is>
      </c>
      <c r="S234" t="inlineStr">
        <is>
          <t>Autobiography / Mircea Eliade ; v. 1</t>
        </is>
      </c>
      <c r="T234" t="inlineStr">
        <is>
          <t xml:space="preserve">BL </t>
        </is>
      </c>
      <c r="U234" t="n">
        <v>1</v>
      </c>
      <c r="V234" t="n">
        <v>1</v>
      </c>
      <c r="W234" t="inlineStr">
        <is>
          <t>1992-02-16</t>
        </is>
      </c>
      <c r="X234" t="inlineStr">
        <is>
          <t>1992-02-16</t>
        </is>
      </c>
      <c r="Y234" t="inlineStr">
        <is>
          <t>1990-09-21</t>
        </is>
      </c>
      <c r="Z234" t="inlineStr">
        <is>
          <t>1990-09-21</t>
        </is>
      </c>
      <c r="AA234" t="n">
        <v>408</v>
      </c>
      <c r="AB234" t="n">
        <v>370</v>
      </c>
      <c r="AC234" t="n">
        <v>383</v>
      </c>
      <c r="AD234" t="n">
        <v>1</v>
      </c>
      <c r="AE234" t="n">
        <v>1</v>
      </c>
      <c r="AF234" t="n">
        <v>22</v>
      </c>
      <c r="AG234" t="n">
        <v>24</v>
      </c>
      <c r="AH234" t="n">
        <v>12</v>
      </c>
      <c r="AI234" t="n">
        <v>13</v>
      </c>
      <c r="AJ234" t="n">
        <v>3</v>
      </c>
      <c r="AK234" t="n">
        <v>3</v>
      </c>
      <c r="AL234" t="n">
        <v>15</v>
      </c>
      <c r="AM234" t="n">
        <v>16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HYPERLINK("http://catalog.hathitrust.org/Record/007116606","HathiTrust Record")</f>
        <v/>
      </c>
      <c r="AU234">
        <f>HYPERLINK("https://creighton-primo.hosted.exlibrisgroup.com/primo-explore/search?tab=default_tab&amp;search_scope=EVERYTHING&amp;vid=01CRU&amp;lang=en_US&amp;offset=0&amp;query=any,contains,991005126249702656","Catalog Record")</f>
        <v/>
      </c>
      <c r="AV234">
        <f>HYPERLINK("http://www.worldcat.org/oclc/7553748","WorldCat Record")</f>
        <v/>
      </c>
      <c r="AW234" t="inlineStr">
        <is>
          <t>49112419:eng</t>
        </is>
      </c>
      <c r="AX234" t="inlineStr">
        <is>
          <t>7553748</t>
        </is>
      </c>
      <c r="AY234" t="inlineStr">
        <is>
          <t>991005126249702656</t>
        </is>
      </c>
      <c r="AZ234" t="inlineStr">
        <is>
          <t>991005126249702656</t>
        </is>
      </c>
      <c r="BA234" t="inlineStr">
        <is>
          <t>2265118790002656</t>
        </is>
      </c>
      <c r="BB234" t="inlineStr">
        <is>
          <t>BOOK</t>
        </is>
      </c>
      <c r="BD234" t="inlineStr">
        <is>
          <t>9780060621421</t>
        </is>
      </c>
      <c r="BE234" t="inlineStr">
        <is>
          <t>32285000307750</t>
        </is>
      </c>
      <c r="BF234" t="inlineStr">
        <is>
          <t>893260594</t>
        </is>
      </c>
    </row>
    <row r="235">
      <c r="A235" t="inlineStr">
        <is>
          <t>No</t>
        </is>
      </c>
      <c r="B235" t="inlineStr">
        <is>
          <t>CURAL</t>
        </is>
      </c>
      <c r="C235" t="inlineStr">
        <is>
          <t>SHELVES</t>
        </is>
      </c>
      <c r="D235" t="inlineStr">
        <is>
          <t>BL43.E4 A315 v.2</t>
        </is>
      </c>
      <c r="E235" t="inlineStr">
        <is>
          <t>0                      BL 0043000E  4                  A  315                               v.2</t>
        </is>
      </c>
      <c r="F235" t="inlineStr">
        <is>
          <t>Exile's odyssey : 1937-1960 / Mircea Eliade ; translated from the Romanian by Mac Linscott Ricketts.</t>
        </is>
      </c>
      <c r="G235" t="inlineStr">
        <is>
          <t>V. 2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Eliade, Mircea, 1907-1986.</t>
        </is>
      </c>
      <c r="N235" t="inlineStr">
        <is>
          <t>Chicago : University of Chicago Press, 1988.</t>
        </is>
      </c>
      <c r="O235" t="inlineStr">
        <is>
          <t>1988</t>
        </is>
      </c>
      <c r="Q235" t="inlineStr">
        <is>
          <t>eng</t>
        </is>
      </c>
      <c r="R235" t="inlineStr">
        <is>
          <t>ilu</t>
        </is>
      </c>
      <c r="S235" t="inlineStr">
        <is>
          <t>Autobiography / Mircea Eliade ; v. 2</t>
        </is>
      </c>
      <c r="T235" t="inlineStr">
        <is>
          <t xml:space="preserve">BL </t>
        </is>
      </c>
      <c r="U235" t="n">
        <v>1</v>
      </c>
      <c r="V235" t="n">
        <v>1</v>
      </c>
      <c r="W235" t="inlineStr">
        <is>
          <t>1992-01-23</t>
        </is>
      </c>
      <c r="X235" t="inlineStr">
        <is>
          <t>1992-01-23</t>
        </is>
      </c>
      <c r="Y235" t="inlineStr">
        <is>
          <t>1989-12-07</t>
        </is>
      </c>
      <c r="Z235" t="inlineStr">
        <is>
          <t>1989-12-07</t>
        </is>
      </c>
      <c r="AA235" t="n">
        <v>301</v>
      </c>
      <c r="AB235" t="n">
        <v>257</v>
      </c>
      <c r="AC235" t="n">
        <v>262</v>
      </c>
      <c r="AD235" t="n">
        <v>1</v>
      </c>
      <c r="AE235" t="n">
        <v>1</v>
      </c>
      <c r="AF235" t="n">
        <v>12</v>
      </c>
      <c r="AG235" t="n">
        <v>12</v>
      </c>
      <c r="AH235" t="n">
        <v>4</v>
      </c>
      <c r="AI235" t="n">
        <v>4</v>
      </c>
      <c r="AJ235" t="n">
        <v>2</v>
      </c>
      <c r="AK235" t="n">
        <v>2</v>
      </c>
      <c r="AL235" t="n">
        <v>8</v>
      </c>
      <c r="AM235" t="n">
        <v>8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HYPERLINK("https://creighton-primo.hosted.exlibrisgroup.com/primo-explore/search?tab=default_tab&amp;search_scope=EVERYTHING&amp;vid=01CRU&amp;lang=en_US&amp;offset=0&amp;query=any,contains,991001235679702656","Catalog Record")</f>
        <v/>
      </c>
      <c r="AV235">
        <f>HYPERLINK("http://www.worldcat.org/oclc/17550213","WorldCat Record")</f>
        <v/>
      </c>
      <c r="AW235" t="inlineStr">
        <is>
          <t>1806868636:eng</t>
        </is>
      </c>
      <c r="AX235" t="inlineStr">
        <is>
          <t>17550213</t>
        </is>
      </c>
      <c r="AY235" t="inlineStr">
        <is>
          <t>991001235679702656</t>
        </is>
      </c>
      <c r="AZ235" t="inlineStr">
        <is>
          <t>991001235679702656</t>
        </is>
      </c>
      <c r="BA235" t="inlineStr">
        <is>
          <t>2262079710002656</t>
        </is>
      </c>
      <c r="BB235" t="inlineStr">
        <is>
          <t>BOOK</t>
        </is>
      </c>
      <c r="BD235" t="inlineStr">
        <is>
          <t>9780226204116</t>
        </is>
      </c>
      <c r="BE235" t="inlineStr">
        <is>
          <t>32285000017631</t>
        </is>
      </c>
      <c r="BF235" t="inlineStr">
        <is>
          <t>893803467</t>
        </is>
      </c>
    </row>
    <row r="236">
      <c r="A236" t="inlineStr">
        <is>
          <t>No</t>
        </is>
      </c>
      <c r="B236" t="inlineStr">
        <is>
          <t>CURAL</t>
        </is>
      </c>
      <c r="C236" t="inlineStr">
        <is>
          <t>SHELVES</t>
        </is>
      </c>
      <c r="D236" t="inlineStr">
        <is>
          <t>BL43.E4 A3213 1982</t>
        </is>
      </c>
      <c r="E236" t="inlineStr">
        <is>
          <t>0                      BL 0043000E  4                  A  3213        1982</t>
        </is>
      </c>
      <c r="F236" t="inlineStr">
        <is>
          <t>Ordeal by labyrinth : conversations with Claude-Henri Rocquet : with the essay on Brancusi and mythology / Mircea Eliade ; translated by Derek Coltman.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Eliade, Mircea, 1907-1986.</t>
        </is>
      </c>
      <c r="N236" t="inlineStr">
        <is>
          <t>Chicago : University of Chicago Press, 1982.</t>
        </is>
      </c>
      <c r="O236" t="inlineStr">
        <is>
          <t>1982</t>
        </is>
      </c>
      <c r="Q236" t="inlineStr">
        <is>
          <t>eng</t>
        </is>
      </c>
      <c r="R236" t="inlineStr">
        <is>
          <t>ilu</t>
        </is>
      </c>
      <c r="T236" t="inlineStr">
        <is>
          <t xml:space="preserve">BL </t>
        </is>
      </c>
      <c r="U236" t="n">
        <v>1</v>
      </c>
      <c r="V236" t="n">
        <v>1</v>
      </c>
      <c r="W236" t="inlineStr">
        <is>
          <t>1992-01-28</t>
        </is>
      </c>
      <c r="X236" t="inlineStr">
        <is>
          <t>1992-01-28</t>
        </is>
      </c>
      <c r="Y236" t="inlineStr">
        <is>
          <t>1990-09-21</t>
        </is>
      </c>
      <c r="Z236" t="inlineStr">
        <is>
          <t>1990-09-21</t>
        </is>
      </c>
      <c r="AA236" t="n">
        <v>549</v>
      </c>
      <c r="AB236" t="n">
        <v>484</v>
      </c>
      <c r="AC236" t="n">
        <v>499</v>
      </c>
      <c r="AD236" t="n">
        <v>2</v>
      </c>
      <c r="AE236" t="n">
        <v>2</v>
      </c>
      <c r="AF236" t="n">
        <v>28</v>
      </c>
      <c r="AG236" t="n">
        <v>28</v>
      </c>
      <c r="AH236" t="n">
        <v>11</v>
      </c>
      <c r="AI236" t="n">
        <v>11</v>
      </c>
      <c r="AJ236" t="n">
        <v>7</v>
      </c>
      <c r="AK236" t="n">
        <v>7</v>
      </c>
      <c r="AL236" t="n">
        <v>18</v>
      </c>
      <c r="AM236" t="n">
        <v>18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HYPERLINK("https://creighton-primo.hosted.exlibrisgroup.com/primo-explore/search?tab=default_tab&amp;search_scope=EVERYTHING&amp;vid=01CRU&amp;lang=en_US&amp;offset=0&amp;query=any,contains,991005195399702656","Catalog Record")</f>
        <v/>
      </c>
      <c r="AV236">
        <f>HYPERLINK("http://www.worldcat.org/oclc/8034806","WorldCat Record")</f>
        <v/>
      </c>
      <c r="AW236" t="inlineStr">
        <is>
          <t>49112431:eng</t>
        </is>
      </c>
      <c r="AX236" t="inlineStr">
        <is>
          <t>8034806</t>
        </is>
      </c>
      <c r="AY236" t="inlineStr">
        <is>
          <t>991005195399702656</t>
        </is>
      </c>
      <c r="AZ236" t="inlineStr">
        <is>
          <t>991005195399702656</t>
        </is>
      </c>
      <c r="BA236" t="inlineStr">
        <is>
          <t>2269903230002656</t>
        </is>
      </c>
      <c r="BB236" t="inlineStr">
        <is>
          <t>BOOK</t>
        </is>
      </c>
      <c r="BD236" t="inlineStr">
        <is>
          <t>9780226203874</t>
        </is>
      </c>
      <c r="BE236" t="inlineStr">
        <is>
          <t>32285000307768</t>
        </is>
      </c>
      <c r="BF236" t="inlineStr">
        <is>
          <t>893628609</t>
        </is>
      </c>
    </row>
    <row r="237">
      <c r="A237" t="inlineStr">
        <is>
          <t>No</t>
        </is>
      </c>
      <c r="B237" t="inlineStr">
        <is>
          <t>CURAL</t>
        </is>
      </c>
      <c r="C237" t="inlineStr">
        <is>
          <t>SHELVES</t>
        </is>
      </c>
      <c r="D237" t="inlineStr">
        <is>
          <t>BL43.E4 A34 1977</t>
        </is>
      </c>
      <c r="E237" t="inlineStr">
        <is>
          <t>0                      BL 0043000E  4                  A  34          1977</t>
        </is>
      </c>
      <c r="F237" t="inlineStr">
        <is>
          <t>No souvenirs : journal, 1957-1969 / Mircea Eliade ; translated from the French by Fred H. Johnson, Jr.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Eliade, Mircea, 1907-1986.</t>
        </is>
      </c>
      <c r="N237" t="inlineStr">
        <is>
          <t>New York : Harper &amp; Row, c1977.</t>
        </is>
      </c>
      <c r="O237" t="inlineStr">
        <is>
          <t>1977</t>
        </is>
      </c>
      <c r="P237" t="inlineStr">
        <is>
          <t>1st ed.</t>
        </is>
      </c>
      <c r="Q237" t="inlineStr">
        <is>
          <t>eng</t>
        </is>
      </c>
      <c r="R237" t="inlineStr">
        <is>
          <t>nyu</t>
        </is>
      </c>
      <c r="T237" t="inlineStr">
        <is>
          <t xml:space="preserve">BL </t>
        </is>
      </c>
      <c r="U237" t="n">
        <v>2</v>
      </c>
      <c r="V237" t="n">
        <v>2</v>
      </c>
      <c r="W237" t="inlineStr">
        <is>
          <t>1992-02-06</t>
        </is>
      </c>
      <c r="X237" t="inlineStr">
        <is>
          <t>1992-02-06</t>
        </is>
      </c>
      <c r="Y237" t="inlineStr">
        <is>
          <t>1990-09-21</t>
        </is>
      </c>
      <c r="Z237" t="inlineStr">
        <is>
          <t>1990-09-21</t>
        </is>
      </c>
      <c r="AA237" t="n">
        <v>719</v>
      </c>
      <c r="AB237" t="n">
        <v>651</v>
      </c>
      <c r="AC237" t="n">
        <v>678</v>
      </c>
      <c r="AD237" t="n">
        <v>3</v>
      </c>
      <c r="AE237" t="n">
        <v>3</v>
      </c>
      <c r="AF237" t="n">
        <v>31</v>
      </c>
      <c r="AG237" t="n">
        <v>32</v>
      </c>
      <c r="AH237" t="n">
        <v>13</v>
      </c>
      <c r="AI237" t="n">
        <v>13</v>
      </c>
      <c r="AJ237" t="n">
        <v>8</v>
      </c>
      <c r="AK237" t="n">
        <v>8</v>
      </c>
      <c r="AL237" t="n">
        <v>18</v>
      </c>
      <c r="AM237" t="n">
        <v>19</v>
      </c>
      <c r="AN237" t="n">
        <v>2</v>
      </c>
      <c r="AO237" t="n">
        <v>2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HYPERLINK("http://catalog.hathitrust.org/Record/000086675","HathiTrust Record")</f>
        <v/>
      </c>
      <c r="AU237">
        <f>HYPERLINK("https://creighton-primo.hosted.exlibrisgroup.com/primo-explore/search?tab=default_tab&amp;search_scope=EVERYTHING&amp;vid=01CRU&amp;lang=en_US&amp;offset=0&amp;query=any,contains,991004177559702656","Catalog Record")</f>
        <v/>
      </c>
      <c r="AV237">
        <f>HYPERLINK("http://www.worldcat.org/oclc/2597489","WorldCat Record")</f>
        <v/>
      </c>
      <c r="AW237" t="inlineStr">
        <is>
          <t>2908673884:eng</t>
        </is>
      </c>
      <c r="AX237" t="inlineStr">
        <is>
          <t>2597489</t>
        </is>
      </c>
      <c r="AY237" t="inlineStr">
        <is>
          <t>991004177559702656</t>
        </is>
      </c>
      <c r="AZ237" t="inlineStr">
        <is>
          <t>991004177559702656</t>
        </is>
      </c>
      <c r="BA237" t="inlineStr">
        <is>
          <t>2268663660002656</t>
        </is>
      </c>
      <c r="BB237" t="inlineStr">
        <is>
          <t>BOOK</t>
        </is>
      </c>
      <c r="BD237" t="inlineStr">
        <is>
          <t>9780060621414</t>
        </is>
      </c>
      <c r="BE237" t="inlineStr">
        <is>
          <t>32285000307776</t>
        </is>
      </c>
      <c r="BF237" t="inlineStr">
        <is>
          <t>893331286</t>
        </is>
      </c>
    </row>
    <row r="238">
      <c r="A238" t="inlineStr">
        <is>
          <t>No</t>
        </is>
      </c>
      <c r="B238" t="inlineStr">
        <is>
          <t>CURAL</t>
        </is>
      </c>
      <c r="C238" t="inlineStr">
        <is>
          <t>SHELVES</t>
        </is>
      </c>
      <c r="D238" t="inlineStr">
        <is>
          <t>BL430 .M83</t>
        </is>
      </c>
      <c r="E238" t="inlineStr">
        <is>
          <t>0                      BL 0430000M  83</t>
        </is>
      </c>
      <c r="F238" t="inlineStr">
        <is>
          <t>Physical religion : the Gifford lectures - delivered before the university of Glasgow in 1890 / by F. Max Müller.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Müller, F. Max (Friedrich Max), 1823-1900.</t>
        </is>
      </c>
      <c r="N238" t="inlineStr">
        <is>
          <t>London ; New York : Longmans, Green 1891.</t>
        </is>
      </c>
      <c r="O238" t="inlineStr">
        <is>
          <t>1891</t>
        </is>
      </c>
      <c r="Q238" t="inlineStr">
        <is>
          <t>eng</t>
        </is>
      </c>
      <c r="R238" t="inlineStr">
        <is>
          <t>___</t>
        </is>
      </c>
      <c r="S238" t="inlineStr">
        <is>
          <t>Collected works of F. Max Ml̈ler</t>
        </is>
      </c>
      <c r="T238" t="inlineStr">
        <is>
          <t xml:space="preserve">BL </t>
        </is>
      </c>
      <c r="U238" t="n">
        <v>2</v>
      </c>
      <c r="V238" t="n">
        <v>2</v>
      </c>
      <c r="W238" t="inlineStr">
        <is>
          <t>1997-02-25</t>
        </is>
      </c>
      <c r="X238" t="inlineStr">
        <is>
          <t>1997-02-25</t>
        </is>
      </c>
      <c r="Y238" t="inlineStr">
        <is>
          <t>1990-10-08</t>
        </is>
      </c>
      <c r="Z238" t="inlineStr">
        <is>
          <t>1990-10-08</t>
        </is>
      </c>
      <c r="AA238" t="n">
        <v>137</v>
      </c>
      <c r="AB238" t="n">
        <v>108</v>
      </c>
      <c r="AC238" t="n">
        <v>227</v>
      </c>
      <c r="AD238" t="n">
        <v>2</v>
      </c>
      <c r="AE238" t="n">
        <v>2</v>
      </c>
      <c r="AF238" t="n">
        <v>6</v>
      </c>
      <c r="AG238" t="n">
        <v>9</v>
      </c>
      <c r="AH238" t="n">
        <v>4</v>
      </c>
      <c r="AI238" t="n">
        <v>4</v>
      </c>
      <c r="AJ238" t="n">
        <v>1</v>
      </c>
      <c r="AK238" t="n">
        <v>2</v>
      </c>
      <c r="AL238" t="n">
        <v>1</v>
      </c>
      <c r="AM238" t="n">
        <v>4</v>
      </c>
      <c r="AN238" t="n">
        <v>1</v>
      </c>
      <c r="AO238" t="n">
        <v>1</v>
      </c>
      <c r="AP238" t="n">
        <v>0</v>
      </c>
      <c r="AQ238" t="n">
        <v>0</v>
      </c>
      <c r="AR238" t="inlineStr">
        <is>
          <t>Yes</t>
        </is>
      </c>
      <c r="AS238" t="inlineStr">
        <is>
          <t>No</t>
        </is>
      </c>
      <c r="AT238">
        <f>HYPERLINK("http://catalog.hathitrust.org/Record/005776173","HathiTrust Record")</f>
        <v/>
      </c>
      <c r="AU238">
        <f>HYPERLINK("https://creighton-primo.hosted.exlibrisgroup.com/primo-explore/search?tab=default_tab&amp;search_scope=EVERYTHING&amp;vid=01CRU&amp;lang=en_US&amp;offset=0&amp;query=any,contains,991003743269702656","Catalog Record")</f>
        <v/>
      </c>
      <c r="AV238">
        <f>HYPERLINK("http://www.worldcat.org/oclc/1410781","WorldCat Record")</f>
        <v/>
      </c>
      <c r="AW238" t="inlineStr">
        <is>
          <t>3855363352:eng</t>
        </is>
      </c>
      <c r="AX238" t="inlineStr">
        <is>
          <t>1410781</t>
        </is>
      </c>
      <c r="AY238" t="inlineStr">
        <is>
          <t>991003743269702656</t>
        </is>
      </c>
      <c r="AZ238" t="inlineStr">
        <is>
          <t>991003743269702656</t>
        </is>
      </c>
      <c r="BA238" t="inlineStr">
        <is>
          <t>2255595070002656</t>
        </is>
      </c>
      <c r="BB238" t="inlineStr">
        <is>
          <t>BOOK</t>
        </is>
      </c>
      <c r="BE238" t="inlineStr">
        <is>
          <t>32285000345453</t>
        </is>
      </c>
      <c r="BF238" t="inlineStr">
        <is>
          <t>893775099</t>
        </is>
      </c>
    </row>
    <row r="239">
      <c r="A239" t="inlineStr">
        <is>
          <t>No</t>
        </is>
      </c>
      <c r="B239" t="inlineStr">
        <is>
          <t>CURAL</t>
        </is>
      </c>
      <c r="C239" t="inlineStr">
        <is>
          <t>SHELVES</t>
        </is>
      </c>
      <c r="D239" t="inlineStr">
        <is>
          <t>BL430 .S43</t>
        </is>
      </c>
      <c r="E239" t="inlineStr">
        <is>
          <t>0                      BL 0430000S  43</t>
        </is>
      </c>
      <c r="F239" t="inlineStr">
        <is>
          <t>The origin and growth of religion : facts and theories / by W. Schmidt ; translated from the original German by H.J. Rose.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Schmidt, Wilhelm, 1868-1954.</t>
        </is>
      </c>
      <c r="N239" t="inlineStr">
        <is>
          <t>New York : MacVeagh, 1931.</t>
        </is>
      </c>
      <c r="O239" t="inlineStr">
        <is>
          <t>1931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BL </t>
        </is>
      </c>
      <c r="U239" t="n">
        <v>2</v>
      </c>
      <c r="V239" t="n">
        <v>2</v>
      </c>
      <c r="W239" t="inlineStr">
        <is>
          <t>1992-11-16</t>
        </is>
      </c>
      <c r="X239" t="inlineStr">
        <is>
          <t>1992-11-16</t>
        </is>
      </c>
      <c r="Y239" t="inlineStr">
        <is>
          <t>1990-10-08</t>
        </is>
      </c>
      <c r="Z239" t="inlineStr">
        <is>
          <t>1990-10-08</t>
        </is>
      </c>
      <c r="AA239" t="n">
        <v>39</v>
      </c>
      <c r="AB239" t="n">
        <v>38</v>
      </c>
      <c r="AC239" t="n">
        <v>441</v>
      </c>
      <c r="AD239" t="n">
        <v>1</v>
      </c>
      <c r="AE239" t="n">
        <v>2</v>
      </c>
      <c r="AF239" t="n">
        <v>4</v>
      </c>
      <c r="AG239" t="n">
        <v>28</v>
      </c>
      <c r="AH239" t="n">
        <v>0</v>
      </c>
      <c r="AI239" t="n">
        <v>9</v>
      </c>
      <c r="AJ239" t="n">
        <v>1</v>
      </c>
      <c r="AK239" t="n">
        <v>7</v>
      </c>
      <c r="AL239" t="n">
        <v>3</v>
      </c>
      <c r="AM239" t="n">
        <v>20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HYPERLINK("https://creighton-primo.hosted.exlibrisgroup.com/primo-explore/search?tab=default_tab&amp;search_scope=EVERYTHING&amp;vid=01CRU&amp;lang=en_US&amp;offset=0&amp;query=any,contains,991004827129702656","Catalog Record")</f>
        <v/>
      </c>
      <c r="AV239">
        <f>HYPERLINK("http://www.worldcat.org/oclc/5363282","WorldCat Record")</f>
        <v/>
      </c>
      <c r="AW239" t="inlineStr">
        <is>
          <t>9021243306:eng</t>
        </is>
      </c>
      <c r="AX239" t="inlineStr">
        <is>
          <t>5363282</t>
        </is>
      </c>
      <c r="AY239" t="inlineStr">
        <is>
          <t>991004827129702656</t>
        </is>
      </c>
      <c r="AZ239" t="inlineStr">
        <is>
          <t>991004827129702656</t>
        </is>
      </c>
      <c r="BA239" t="inlineStr">
        <is>
          <t>2272294800002656</t>
        </is>
      </c>
      <c r="BB239" t="inlineStr">
        <is>
          <t>BOOK</t>
        </is>
      </c>
      <c r="BE239" t="inlineStr">
        <is>
          <t>32285000345461</t>
        </is>
      </c>
      <c r="BF239" t="inlineStr">
        <is>
          <t>893694385</t>
        </is>
      </c>
    </row>
    <row r="240">
      <c r="A240" t="inlineStr">
        <is>
          <t>No</t>
        </is>
      </c>
      <c r="B240" t="inlineStr">
        <is>
          <t>CURAL</t>
        </is>
      </c>
      <c r="C240" t="inlineStr">
        <is>
          <t>SHELVES</t>
        </is>
      </c>
      <c r="D240" t="inlineStr">
        <is>
          <t>BL438 .J6</t>
        </is>
      </c>
      <c r="E240" t="inlineStr">
        <is>
          <t>0                      BL 0438000J  6</t>
        </is>
      </c>
      <c r="F240" t="inlineStr">
        <is>
          <t>Outer space: myths, name meanings, calendars from the emergence of history to the present day, by Gertrude and James Jobes.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Jobes, Gertrude.</t>
        </is>
      </c>
      <c r="N240" t="inlineStr">
        <is>
          <t>New York, Scarecrow Press, 1964.</t>
        </is>
      </c>
      <c r="O240" t="inlineStr">
        <is>
          <t>1964</t>
        </is>
      </c>
      <c r="Q240" t="inlineStr">
        <is>
          <t>eng</t>
        </is>
      </c>
      <c r="R240" t="inlineStr">
        <is>
          <t>nyu</t>
        </is>
      </c>
      <c r="T240" t="inlineStr">
        <is>
          <t xml:space="preserve">BL </t>
        </is>
      </c>
      <c r="U240" t="n">
        <v>9</v>
      </c>
      <c r="V240" t="n">
        <v>9</v>
      </c>
      <c r="W240" t="inlineStr">
        <is>
          <t>2009-10-28</t>
        </is>
      </c>
      <c r="X240" t="inlineStr">
        <is>
          <t>2009-10-28</t>
        </is>
      </c>
      <c r="Y240" t="inlineStr">
        <is>
          <t>1990-10-08</t>
        </is>
      </c>
      <c r="Z240" t="inlineStr">
        <is>
          <t>1990-10-08</t>
        </is>
      </c>
      <c r="AA240" t="n">
        <v>690</v>
      </c>
      <c r="AB240" t="n">
        <v>647</v>
      </c>
      <c r="AC240" t="n">
        <v>654</v>
      </c>
      <c r="AD240" t="n">
        <v>5</v>
      </c>
      <c r="AE240" t="n">
        <v>5</v>
      </c>
      <c r="AF240" t="n">
        <v>19</v>
      </c>
      <c r="AG240" t="n">
        <v>19</v>
      </c>
      <c r="AH240" t="n">
        <v>8</v>
      </c>
      <c r="AI240" t="n">
        <v>8</v>
      </c>
      <c r="AJ240" t="n">
        <v>5</v>
      </c>
      <c r="AK240" t="n">
        <v>5</v>
      </c>
      <c r="AL240" t="n">
        <v>8</v>
      </c>
      <c r="AM240" t="n">
        <v>8</v>
      </c>
      <c r="AN240" t="n">
        <v>4</v>
      </c>
      <c r="AO240" t="n">
        <v>4</v>
      </c>
      <c r="AP240" t="n">
        <v>0</v>
      </c>
      <c r="AQ240" t="n">
        <v>0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HYPERLINK("http://catalog.hathitrust.org/Record/000268221","HathiTrust Record")</f>
        <v/>
      </c>
      <c r="AU240">
        <f>HYPERLINK("https://creighton-primo.hosted.exlibrisgroup.com/primo-explore/search?tab=default_tab&amp;search_scope=EVERYTHING&amp;vid=01CRU&amp;lang=en_US&amp;offset=0&amp;query=any,contains,991003349809702656","Catalog Record")</f>
        <v/>
      </c>
      <c r="AV240">
        <f>HYPERLINK("http://www.worldcat.org/oclc/882705","WorldCat Record")</f>
        <v/>
      </c>
      <c r="AW240" t="inlineStr">
        <is>
          <t>196547177:eng</t>
        </is>
      </c>
      <c r="AX240" t="inlineStr">
        <is>
          <t>882705</t>
        </is>
      </c>
      <c r="AY240" t="inlineStr">
        <is>
          <t>991003349809702656</t>
        </is>
      </c>
      <c r="AZ240" t="inlineStr">
        <is>
          <t>991003349809702656</t>
        </is>
      </c>
      <c r="BA240" t="inlineStr">
        <is>
          <t>2260351070002656</t>
        </is>
      </c>
      <c r="BB240" t="inlineStr">
        <is>
          <t>BOOK</t>
        </is>
      </c>
      <c r="BE240" t="inlineStr">
        <is>
          <t>32285000345479</t>
        </is>
      </c>
      <c r="BF240" t="inlineStr">
        <is>
          <t>893428712</t>
        </is>
      </c>
    </row>
    <row r="241">
      <c r="A241" t="inlineStr">
        <is>
          <t>No</t>
        </is>
      </c>
      <c r="B241" t="inlineStr">
        <is>
          <t>CURAL</t>
        </is>
      </c>
      <c r="C241" t="inlineStr">
        <is>
          <t>SHELVES</t>
        </is>
      </c>
      <c r="D241" t="inlineStr">
        <is>
          <t>BL443.B8 C6 1973</t>
        </is>
      </c>
      <c r="E241" t="inlineStr">
        <is>
          <t>0                      BL 0443000B  8                  C  6           1973</t>
        </is>
      </c>
      <c r="F241" t="inlineStr">
        <is>
          <t>The horn and the sword; the history of the bull as symbol of power and fertility. With photographic illus. and drawings by James MacDonald.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Conrad, Jack Randolph.</t>
        </is>
      </c>
      <c r="N241" t="inlineStr">
        <is>
          <t>Westport, Conn., Greenwood Press [1973, c1957]</t>
        </is>
      </c>
      <c r="O241" t="inlineStr">
        <is>
          <t>1973</t>
        </is>
      </c>
      <c r="Q241" t="inlineStr">
        <is>
          <t>eng</t>
        </is>
      </c>
      <c r="R241" t="inlineStr">
        <is>
          <t>ctu</t>
        </is>
      </c>
      <c r="T241" t="inlineStr">
        <is>
          <t xml:space="preserve">BL </t>
        </is>
      </c>
      <c r="U241" t="n">
        <v>2</v>
      </c>
      <c r="V241" t="n">
        <v>2</v>
      </c>
      <c r="W241" t="inlineStr">
        <is>
          <t>2001-10-23</t>
        </is>
      </c>
      <c r="X241" t="inlineStr">
        <is>
          <t>2001-10-23</t>
        </is>
      </c>
      <c r="Y241" t="inlineStr">
        <is>
          <t>1990-10-08</t>
        </is>
      </c>
      <c r="Z241" t="inlineStr">
        <is>
          <t>1990-10-08</t>
        </is>
      </c>
      <c r="AA241" t="n">
        <v>98</v>
      </c>
      <c r="AB241" t="n">
        <v>83</v>
      </c>
      <c r="AC241" t="n">
        <v>383</v>
      </c>
      <c r="AD241" t="n">
        <v>1</v>
      </c>
      <c r="AE241" t="n">
        <v>3</v>
      </c>
      <c r="AF241" t="n">
        <v>2</v>
      </c>
      <c r="AG241" t="n">
        <v>16</v>
      </c>
      <c r="AH241" t="n">
        <v>1</v>
      </c>
      <c r="AI241" t="n">
        <v>5</v>
      </c>
      <c r="AJ241" t="n">
        <v>0</v>
      </c>
      <c r="AK241" t="n">
        <v>4</v>
      </c>
      <c r="AL241" t="n">
        <v>1</v>
      </c>
      <c r="AM241" t="n">
        <v>7</v>
      </c>
      <c r="AN241" t="n">
        <v>0</v>
      </c>
      <c r="AO241" t="n">
        <v>2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HYPERLINK("http://catalog.hathitrust.org/Record/006811268","HathiTrust Record")</f>
        <v/>
      </c>
      <c r="AU241">
        <f>HYPERLINK("https://creighton-primo.hosted.exlibrisgroup.com/primo-explore/search?tab=default_tab&amp;search_scope=EVERYTHING&amp;vid=01CRU&amp;lang=en_US&amp;offset=0&amp;query=any,contains,991002885189702656","Catalog Record")</f>
        <v/>
      </c>
      <c r="AV241">
        <f>HYPERLINK("http://www.worldcat.org/oclc/508008","WorldCat Record")</f>
        <v/>
      </c>
      <c r="AW241" t="inlineStr">
        <is>
          <t>4921365730:eng</t>
        </is>
      </c>
      <c r="AX241" t="inlineStr">
        <is>
          <t>508008</t>
        </is>
      </c>
      <c r="AY241" t="inlineStr">
        <is>
          <t>991002885189702656</t>
        </is>
      </c>
      <c r="AZ241" t="inlineStr">
        <is>
          <t>991002885189702656</t>
        </is>
      </c>
      <c r="BA241" t="inlineStr">
        <is>
          <t>2261099260002656</t>
        </is>
      </c>
      <c r="BB241" t="inlineStr">
        <is>
          <t>BOOK</t>
        </is>
      </c>
      <c r="BD241" t="inlineStr">
        <is>
          <t>9780837166049</t>
        </is>
      </c>
      <c r="BE241" t="inlineStr">
        <is>
          <t>32285000345495</t>
        </is>
      </c>
      <c r="BF241" t="inlineStr">
        <is>
          <t>893616713</t>
        </is>
      </c>
    </row>
    <row r="242">
      <c r="A242" t="inlineStr">
        <is>
          <t>No</t>
        </is>
      </c>
      <c r="B242" t="inlineStr">
        <is>
          <t>CURAL</t>
        </is>
      </c>
      <c r="C242" t="inlineStr">
        <is>
          <t>SHELVES</t>
        </is>
      </c>
      <c r="D242" t="inlineStr">
        <is>
          <t>BL457.M4 E43 1978</t>
        </is>
      </c>
      <c r="E242" t="inlineStr">
        <is>
          <t>0                      BL 0457000M  4                  E  43          1978</t>
        </is>
      </c>
      <c r="F242" t="inlineStr">
        <is>
          <t>The forge and the crucible : the origins and structures of alchemy / Mircea Eliade ; translated from the French by Stephen Corrin.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Eliade, Mircea, 1907-1986.</t>
        </is>
      </c>
      <c r="N242" t="inlineStr">
        <is>
          <t>Chicago : University of Chicago Press, 1978.</t>
        </is>
      </c>
      <c r="O242" t="inlineStr">
        <is>
          <t>1978</t>
        </is>
      </c>
      <c r="P242" t="inlineStr">
        <is>
          <t>2d ed.</t>
        </is>
      </c>
      <c r="Q242" t="inlineStr">
        <is>
          <t>eng</t>
        </is>
      </c>
      <c r="R242" t="inlineStr">
        <is>
          <t>ilu</t>
        </is>
      </c>
      <c r="T242" t="inlineStr">
        <is>
          <t xml:space="preserve">BL </t>
        </is>
      </c>
      <c r="U242" t="n">
        <v>3</v>
      </c>
      <c r="V242" t="n">
        <v>3</v>
      </c>
      <c r="W242" t="inlineStr">
        <is>
          <t>2000-04-19</t>
        </is>
      </c>
      <c r="X242" t="inlineStr">
        <is>
          <t>2000-04-19</t>
        </is>
      </c>
      <c r="Y242" t="inlineStr">
        <is>
          <t>1990-10-08</t>
        </is>
      </c>
      <c r="Z242" t="inlineStr">
        <is>
          <t>1990-10-08</t>
        </is>
      </c>
      <c r="AA242" t="n">
        <v>454</v>
      </c>
      <c r="AB242" t="n">
        <v>359</v>
      </c>
      <c r="AC242" t="n">
        <v>767</v>
      </c>
      <c r="AD242" t="n">
        <v>3</v>
      </c>
      <c r="AE242" t="n">
        <v>5</v>
      </c>
      <c r="AF242" t="n">
        <v>8</v>
      </c>
      <c r="AG242" t="n">
        <v>34</v>
      </c>
      <c r="AH242" t="n">
        <v>2</v>
      </c>
      <c r="AI242" t="n">
        <v>11</v>
      </c>
      <c r="AJ242" t="n">
        <v>1</v>
      </c>
      <c r="AK242" t="n">
        <v>8</v>
      </c>
      <c r="AL242" t="n">
        <v>4</v>
      </c>
      <c r="AM242" t="n">
        <v>20</v>
      </c>
      <c r="AN242" t="n">
        <v>2</v>
      </c>
      <c r="AO242" t="n">
        <v>4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HYPERLINK("https://creighton-primo.hosted.exlibrisgroup.com/primo-explore/search?tab=default_tab&amp;search_scope=EVERYTHING&amp;vid=01CRU&amp;lang=en_US&amp;offset=0&amp;query=any,contains,991004739119702656","Catalog Record")</f>
        <v/>
      </c>
      <c r="AV242">
        <f>HYPERLINK("http://www.worldcat.org/oclc/4873250","WorldCat Record")</f>
        <v/>
      </c>
      <c r="AW242" t="inlineStr">
        <is>
          <t>14427182:eng</t>
        </is>
      </c>
      <c r="AX242" t="inlineStr">
        <is>
          <t>4873250</t>
        </is>
      </c>
      <c r="AY242" t="inlineStr">
        <is>
          <t>991004739119702656</t>
        </is>
      </c>
      <c r="AZ242" t="inlineStr">
        <is>
          <t>991004739119702656</t>
        </is>
      </c>
      <c r="BA242" t="inlineStr">
        <is>
          <t>2262068540002656</t>
        </is>
      </c>
      <c r="BB242" t="inlineStr">
        <is>
          <t>BOOK</t>
        </is>
      </c>
      <c r="BD242" t="inlineStr">
        <is>
          <t>9780226203904</t>
        </is>
      </c>
      <c r="BE242" t="inlineStr">
        <is>
          <t>32285000345537</t>
        </is>
      </c>
      <c r="BF242" t="inlineStr">
        <is>
          <t>893694259</t>
        </is>
      </c>
    </row>
    <row r="243">
      <c r="A243" t="inlineStr">
        <is>
          <t>No</t>
        </is>
      </c>
      <c r="B243" t="inlineStr">
        <is>
          <t>CURAL</t>
        </is>
      </c>
      <c r="C243" t="inlineStr">
        <is>
          <t>SHELVES</t>
        </is>
      </c>
      <c r="D243" t="inlineStr">
        <is>
          <t>BL458 .B37 1986</t>
        </is>
      </c>
      <c r="E243" t="inlineStr">
        <is>
          <t>0                      BL 0458000B  37          1986</t>
        </is>
      </c>
      <c r="F243" t="inlineStr">
        <is>
          <t>Women in American religious history : an annotated bibliography and guide to sources / Dorothy C. Bass, Sandra Hughes Boyd.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M243" t="inlineStr">
        <is>
          <t>Bass, Dorothy C.</t>
        </is>
      </c>
      <c r="N243" t="inlineStr">
        <is>
          <t>Boston, Mass. : G.K. Hall, c1986.</t>
        </is>
      </c>
      <c r="O243" t="inlineStr">
        <is>
          <t>1986</t>
        </is>
      </c>
      <c r="Q243" t="inlineStr">
        <is>
          <t>eng</t>
        </is>
      </c>
      <c r="R243" t="inlineStr">
        <is>
          <t>mau</t>
        </is>
      </c>
      <c r="S243" t="inlineStr">
        <is>
          <t>G.K. Hall women's studies publications</t>
        </is>
      </c>
      <c r="T243" t="inlineStr">
        <is>
          <t xml:space="preserve">BL </t>
        </is>
      </c>
      <c r="U243" t="n">
        <v>1</v>
      </c>
      <c r="V243" t="n">
        <v>1</v>
      </c>
      <c r="W243" t="inlineStr">
        <is>
          <t>2001-04-03</t>
        </is>
      </c>
      <c r="X243" t="inlineStr">
        <is>
          <t>2001-04-03</t>
        </is>
      </c>
      <c r="Y243" t="inlineStr">
        <is>
          <t>1998-04-27</t>
        </is>
      </c>
      <c r="Z243" t="inlineStr">
        <is>
          <t>1998-04-27</t>
        </is>
      </c>
      <c r="AA243" t="n">
        <v>499</v>
      </c>
      <c r="AB243" t="n">
        <v>461</v>
      </c>
      <c r="AC243" t="n">
        <v>472</v>
      </c>
      <c r="AD243" t="n">
        <v>2</v>
      </c>
      <c r="AE243" t="n">
        <v>2</v>
      </c>
      <c r="AF243" t="n">
        <v>23</v>
      </c>
      <c r="AG243" t="n">
        <v>23</v>
      </c>
      <c r="AH243" t="n">
        <v>5</v>
      </c>
      <c r="AI243" t="n">
        <v>5</v>
      </c>
      <c r="AJ243" t="n">
        <v>7</v>
      </c>
      <c r="AK243" t="n">
        <v>7</v>
      </c>
      <c r="AL243" t="n">
        <v>15</v>
      </c>
      <c r="AM243" t="n">
        <v>15</v>
      </c>
      <c r="AN243" t="n">
        <v>1</v>
      </c>
      <c r="AO243" t="n">
        <v>1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HYPERLINK("http://catalog.hathitrust.org/Record/000868555","HathiTrust Record")</f>
        <v/>
      </c>
      <c r="AU243">
        <f>HYPERLINK("https://creighton-primo.hosted.exlibrisgroup.com/primo-explore/search?tab=default_tab&amp;search_scope=EVERYTHING&amp;vid=01CRU&amp;lang=en_US&amp;offset=0&amp;query=any,contains,991002077299702656","Catalog Record")</f>
        <v/>
      </c>
      <c r="AV243">
        <f>HYPERLINK("http://www.worldcat.org/oclc/14167987","WorldCat Record")</f>
        <v/>
      </c>
      <c r="AW243" t="inlineStr">
        <is>
          <t>199038178:eng</t>
        </is>
      </c>
      <c r="AX243" t="inlineStr">
        <is>
          <t>14167987</t>
        </is>
      </c>
      <c r="AY243" t="inlineStr">
        <is>
          <t>991002077299702656</t>
        </is>
      </c>
      <c r="AZ243" t="inlineStr">
        <is>
          <t>991002077299702656</t>
        </is>
      </c>
      <c r="BA243" t="inlineStr">
        <is>
          <t>2271040780002656</t>
        </is>
      </c>
      <c r="BB243" t="inlineStr">
        <is>
          <t>BOOK</t>
        </is>
      </c>
      <c r="BD243" t="inlineStr">
        <is>
          <t>9780816181513</t>
        </is>
      </c>
      <c r="BE243" t="inlineStr">
        <is>
          <t>32285003393211</t>
        </is>
      </c>
      <c r="BF243" t="inlineStr">
        <is>
          <t>893609438</t>
        </is>
      </c>
    </row>
    <row r="244">
      <c r="A244" t="inlineStr">
        <is>
          <t>No</t>
        </is>
      </c>
      <c r="B244" t="inlineStr">
        <is>
          <t>CURAL</t>
        </is>
      </c>
      <c r="C244" t="inlineStr">
        <is>
          <t>SHELVES</t>
        </is>
      </c>
      <c r="D244" t="inlineStr">
        <is>
          <t>BL458 .B49</t>
        </is>
      </c>
      <c r="E244" t="inlineStr">
        <is>
          <t>0                      BL 0458000B  49</t>
        </is>
      </c>
      <c r="F244" t="inlineStr">
        <is>
          <t>Beyond androcentrism : new essays on women and religion / edited by Rita M. Gross.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Missoula, Mont. : Scholars Press for the American Academy of Religion, c1977.</t>
        </is>
      </c>
      <c r="O244" t="inlineStr">
        <is>
          <t>1977</t>
        </is>
      </c>
      <c r="Q244" t="inlineStr">
        <is>
          <t>eng</t>
        </is>
      </c>
      <c r="R244" t="inlineStr">
        <is>
          <t>mtu</t>
        </is>
      </c>
      <c r="S244" t="inlineStr">
        <is>
          <t>Aids for the study of religion ; no. 6</t>
        </is>
      </c>
      <c r="T244" t="inlineStr">
        <is>
          <t xml:space="preserve">BL </t>
        </is>
      </c>
      <c r="U244" t="n">
        <v>7</v>
      </c>
      <c r="V244" t="n">
        <v>7</v>
      </c>
      <c r="W244" t="inlineStr">
        <is>
          <t>2008-10-18</t>
        </is>
      </c>
      <c r="X244" t="inlineStr">
        <is>
          <t>2008-10-18</t>
        </is>
      </c>
      <c r="Y244" t="inlineStr">
        <is>
          <t>1990-10-08</t>
        </is>
      </c>
      <c r="Z244" t="inlineStr">
        <is>
          <t>1990-10-08</t>
        </is>
      </c>
      <c r="AA244" t="n">
        <v>469</v>
      </c>
      <c r="AB244" t="n">
        <v>376</v>
      </c>
      <c r="AC244" t="n">
        <v>377</v>
      </c>
      <c r="AD244" t="n">
        <v>2</v>
      </c>
      <c r="AE244" t="n">
        <v>2</v>
      </c>
      <c r="AF244" t="n">
        <v>30</v>
      </c>
      <c r="AG244" t="n">
        <v>30</v>
      </c>
      <c r="AH244" t="n">
        <v>11</v>
      </c>
      <c r="AI244" t="n">
        <v>11</v>
      </c>
      <c r="AJ244" t="n">
        <v>6</v>
      </c>
      <c r="AK244" t="n">
        <v>6</v>
      </c>
      <c r="AL244" t="n">
        <v>19</v>
      </c>
      <c r="AM244" t="n">
        <v>19</v>
      </c>
      <c r="AN244" t="n">
        <v>1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HYPERLINK("http://catalog.hathitrust.org/Record/102001356","HathiTrust Record")</f>
        <v/>
      </c>
      <c r="AU244">
        <f>HYPERLINK("https://creighton-primo.hosted.exlibrisgroup.com/primo-explore/search?tab=default_tab&amp;search_scope=EVERYTHING&amp;vid=01CRU&amp;lang=en_US&amp;offset=0&amp;query=any,contains,991004403559702656","Catalog Record")</f>
        <v/>
      </c>
      <c r="AV244">
        <f>HYPERLINK("http://www.worldcat.org/oclc/3311698","WorldCat Record")</f>
        <v/>
      </c>
      <c r="AW244" t="inlineStr">
        <is>
          <t>806818894:eng</t>
        </is>
      </c>
      <c r="AX244" t="inlineStr">
        <is>
          <t>3311698</t>
        </is>
      </c>
      <c r="AY244" t="inlineStr">
        <is>
          <t>991004403559702656</t>
        </is>
      </c>
      <c r="AZ244" t="inlineStr">
        <is>
          <t>991004403559702656</t>
        </is>
      </c>
      <c r="BA244" t="inlineStr">
        <is>
          <t>2271502660002656</t>
        </is>
      </c>
      <c r="BB244" t="inlineStr">
        <is>
          <t>BOOK</t>
        </is>
      </c>
      <c r="BD244" t="inlineStr">
        <is>
          <t>9780891301967</t>
        </is>
      </c>
      <c r="BE244" t="inlineStr">
        <is>
          <t>32285000345545</t>
        </is>
      </c>
      <c r="BF244" t="inlineStr">
        <is>
          <t>893869675</t>
        </is>
      </c>
    </row>
    <row r="245">
      <c r="A245" t="inlineStr">
        <is>
          <t>No</t>
        </is>
      </c>
      <c r="B245" t="inlineStr">
        <is>
          <t>CURAL</t>
        </is>
      </c>
      <c r="C245" t="inlineStr">
        <is>
          <t>SHELVES</t>
        </is>
      </c>
      <c r="D245" t="inlineStr">
        <is>
          <t>BL458 .B78</t>
        </is>
      </c>
      <c r="E245" t="inlineStr">
        <is>
          <t>0                      BL 0458000B  78</t>
        </is>
      </c>
      <c r="F245" t="inlineStr">
        <is>
          <t>God as woman, woman as God [by] J. Edgar Bruns.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Bruns, J. Edgar, 1923-</t>
        </is>
      </c>
      <c r="N245" t="inlineStr">
        <is>
          <t>New York, Paulist Press [1973]</t>
        </is>
      </c>
      <c r="O245" t="inlineStr">
        <is>
          <t>1973</t>
        </is>
      </c>
      <c r="Q245" t="inlineStr">
        <is>
          <t>eng</t>
        </is>
      </c>
      <c r="R245" t="inlineStr">
        <is>
          <t>nyu</t>
        </is>
      </c>
      <c r="S245" t="inlineStr">
        <is>
          <t>Paulist Press/Deus books</t>
        </is>
      </c>
      <c r="T245" t="inlineStr">
        <is>
          <t xml:space="preserve">BL </t>
        </is>
      </c>
      <c r="U245" t="n">
        <v>5</v>
      </c>
      <c r="V245" t="n">
        <v>5</v>
      </c>
      <c r="W245" t="inlineStr">
        <is>
          <t>2008-10-18</t>
        </is>
      </c>
      <c r="X245" t="inlineStr">
        <is>
          <t>2008-10-18</t>
        </is>
      </c>
      <c r="Y245" t="inlineStr">
        <is>
          <t>1990-10-08</t>
        </is>
      </c>
      <c r="Z245" t="inlineStr">
        <is>
          <t>1990-10-08</t>
        </is>
      </c>
      <c r="AA245" t="n">
        <v>299</v>
      </c>
      <c r="AB245" t="n">
        <v>253</v>
      </c>
      <c r="AC245" t="n">
        <v>262</v>
      </c>
      <c r="AD245" t="n">
        <v>2</v>
      </c>
      <c r="AE245" t="n">
        <v>2</v>
      </c>
      <c r="AF245" t="n">
        <v>15</v>
      </c>
      <c r="AG245" t="n">
        <v>15</v>
      </c>
      <c r="AH245" t="n">
        <v>5</v>
      </c>
      <c r="AI245" t="n">
        <v>5</v>
      </c>
      <c r="AJ245" t="n">
        <v>4</v>
      </c>
      <c r="AK245" t="n">
        <v>4</v>
      </c>
      <c r="AL245" t="n">
        <v>11</v>
      </c>
      <c r="AM245" t="n">
        <v>11</v>
      </c>
      <c r="AN245" t="n">
        <v>1</v>
      </c>
      <c r="AO245" t="n">
        <v>1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HYPERLINK("https://creighton-primo.hosted.exlibrisgroup.com/primo-explore/search?tab=default_tab&amp;search_scope=EVERYTHING&amp;vid=01CRU&amp;lang=en_US&amp;offset=0&amp;query=any,contains,991003162359702656","Catalog Record")</f>
        <v/>
      </c>
      <c r="AV245">
        <f>HYPERLINK("http://www.worldcat.org/oclc/700984","WorldCat Record")</f>
        <v/>
      </c>
      <c r="AW245" t="inlineStr">
        <is>
          <t>1598458:eng</t>
        </is>
      </c>
      <c r="AX245" t="inlineStr">
        <is>
          <t>700984</t>
        </is>
      </c>
      <c r="AY245" t="inlineStr">
        <is>
          <t>991003162359702656</t>
        </is>
      </c>
      <c r="AZ245" t="inlineStr">
        <is>
          <t>991003162359702656</t>
        </is>
      </c>
      <c r="BA245" t="inlineStr">
        <is>
          <t>2255426180002656</t>
        </is>
      </c>
      <c r="BB245" t="inlineStr">
        <is>
          <t>BOOK</t>
        </is>
      </c>
      <c r="BD245" t="inlineStr">
        <is>
          <t>9780809117710</t>
        </is>
      </c>
      <c r="BE245" t="inlineStr">
        <is>
          <t>32285000345552</t>
        </is>
      </c>
      <c r="BF245" t="inlineStr">
        <is>
          <t>893893437</t>
        </is>
      </c>
    </row>
    <row r="246">
      <c r="A246" t="inlineStr">
        <is>
          <t>No</t>
        </is>
      </c>
      <c r="B246" t="inlineStr">
        <is>
          <t>CURAL</t>
        </is>
      </c>
      <c r="C246" t="inlineStr">
        <is>
          <t>SHELVES</t>
        </is>
      </c>
      <c r="D246" t="inlineStr">
        <is>
          <t>BL458 .C39 1986</t>
        </is>
      </c>
      <c r="E246" t="inlineStr">
        <is>
          <t>0                      BL 0458000C  39          1986</t>
        </is>
      </c>
      <c r="F246" t="inlineStr">
        <is>
          <t>Feminist spirituality and the feminine divine : an annotated bibliography / Anne Carson.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Carson, Anne, 1950 December 16-</t>
        </is>
      </c>
      <c r="N246" t="inlineStr">
        <is>
          <t>Trumansburg, N.Y. : Crossing Press, c1986.</t>
        </is>
      </c>
      <c r="O246" t="inlineStr">
        <is>
          <t>1986</t>
        </is>
      </c>
      <c r="Q246" t="inlineStr">
        <is>
          <t>eng</t>
        </is>
      </c>
      <c r="R246" t="inlineStr">
        <is>
          <t>nyu</t>
        </is>
      </c>
      <c r="S246" t="inlineStr">
        <is>
          <t>The Crossing Press feminist series</t>
        </is>
      </c>
      <c r="T246" t="inlineStr">
        <is>
          <t xml:space="preserve">BL </t>
        </is>
      </c>
      <c r="U246" t="n">
        <v>2</v>
      </c>
      <c r="V246" t="n">
        <v>2</v>
      </c>
      <c r="W246" t="inlineStr">
        <is>
          <t>2010-04-03</t>
        </is>
      </c>
      <c r="X246" t="inlineStr">
        <is>
          <t>2010-04-03</t>
        </is>
      </c>
      <c r="Y246" t="inlineStr">
        <is>
          <t>1998-04-27</t>
        </is>
      </c>
      <c r="Z246" t="inlineStr">
        <is>
          <t>1998-04-27</t>
        </is>
      </c>
      <c r="AA246" t="n">
        <v>418</v>
      </c>
      <c r="AB246" t="n">
        <v>374</v>
      </c>
      <c r="AC246" t="n">
        <v>375</v>
      </c>
      <c r="AD246" t="n">
        <v>3</v>
      </c>
      <c r="AE246" t="n">
        <v>3</v>
      </c>
      <c r="AF246" t="n">
        <v>21</v>
      </c>
      <c r="AG246" t="n">
        <v>21</v>
      </c>
      <c r="AH246" t="n">
        <v>8</v>
      </c>
      <c r="AI246" t="n">
        <v>8</v>
      </c>
      <c r="AJ246" t="n">
        <v>7</v>
      </c>
      <c r="AK246" t="n">
        <v>7</v>
      </c>
      <c r="AL246" t="n">
        <v>12</v>
      </c>
      <c r="AM246" t="n">
        <v>12</v>
      </c>
      <c r="AN246" t="n">
        <v>2</v>
      </c>
      <c r="AO246" t="n">
        <v>2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HYPERLINK("http://catalog.hathitrust.org/Record/000590705","HathiTrust Record")</f>
        <v/>
      </c>
      <c r="AU246">
        <f>HYPERLINK("https://creighton-primo.hosted.exlibrisgroup.com/primo-explore/search?tab=default_tab&amp;search_scope=EVERYTHING&amp;vid=01CRU&amp;lang=en_US&amp;offset=0&amp;query=any,contains,991002057879702656","Catalog Record")</f>
        <v/>
      </c>
      <c r="AV246">
        <f>HYPERLINK("http://www.worldcat.org/oclc/13270368","WorldCat Record")</f>
        <v/>
      </c>
      <c r="AW246" t="inlineStr">
        <is>
          <t>891669731:eng</t>
        </is>
      </c>
      <c r="AX246" t="inlineStr">
        <is>
          <t>13270368</t>
        </is>
      </c>
      <c r="AY246" t="inlineStr">
        <is>
          <t>991002057879702656</t>
        </is>
      </c>
      <c r="AZ246" t="inlineStr">
        <is>
          <t>991002057879702656</t>
        </is>
      </c>
      <c r="BA246" t="inlineStr">
        <is>
          <t>2271888330002656</t>
        </is>
      </c>
      <c r="BB246" t="inlineStr">
        <is>
          <t>BOOK</t>
        </is>
      </c>
      <c r="BD246" t="inlineStr">
        <is>
          <t>9780895942005</t>
        </is>
      </c>
      <c r="BE246" t="inlineStr">
        <is>
          <t>32285003393229</t>
        </is>
      </c>
      <c r="BF246" t="inlineStr">
        <is>
          <t>893892077</t>
        </is>
      </c>
    </row>
    <row r="247">
      <c r="A247" t="inlineStr">
        <is>
          <t>No</t>
        </is>
      </c>
      <c r="B247" t="inlineStr">
        <is>
          <t>CURAL</t>
        </is>
      </c>
      <c r="C247" t="inlineStr">
        <is>
          <t>SHELVES</t>
        </is>
      </c>
      <c r="D247" t="inlineStr">
        <is>
          <t>BL458 .G64 1979</t>
        </is>
      </c>
      <c r="E247" t="inlineStr">
        <is>
          <t>0                      BL 0458000G  64          1979</t>
        </is>
      </c>
      <c r="F247" t="inlineStr">
        <is>
          <t>Changing of the gods : feminism and the end of traditional religions / Naomi R. Goldenberg.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Goldenberg, Naomi R.</t>
        </is>
      </c>
      <c r="N247" t="inlineStr">
        <is>
          <t>Boston : Beacon Press, c1979.</t>
        </is>
      </c>
      <c r="O247" t="inlineStr">
        <is>
          <t>1979</t>
        </is>
      </c>
      <c r="Q247" t="inlineStr">
        <is>
          <t>eng</t>
        </is>
      </c>
      <c r="R247" t="inlineStr">
        <is>
          <t>mau</t>
        </is>
      </c>
      <c r="T247" t="inlineStr">
        <is>
          <t xml:space="preserve">BL </t>
        </is>
      </c>
      <c r="U247" t="n">
        <v>3</v>
      </c>
      <c r="V247" t="n">
        <v>3</v>
      </c>
      <c r="W247" t="inlineStr">
        <is>
          <t>1992-03-03</t>
        </is>
      </c>
      <c r="X247" t="inlineStr">
        <is>
          <t>1992-03-03</t>
        </is>
      </c>
      <c r="Y247" t="inlineStr">
        <is>
          <t>1990-10-08</t>
        </is>
      </c>
      <c r="Z247" t="inlineStr">
        <is>
          <t>1990-10-08</t>
        </is>
      </c>
      <c r="AA247" t="n">
        <v>1078</v>
      </c>
      <c r="AB247" t="n">
        <v>935</v>
      </c>
      <c r="AC247" t="n">
        <v>941</v>
      </c>
      <c r="AD247" t="n">
        <v>7</v>
      </c>
      <c r="AE247" t="n">
        <v>7</v>
      </c>
      <c r="AF247" t="n">
        <v>43</v>
      </c>
      <c r="AG247" t="n">
        <v>43</v>
      </c>
      <c r="AH247" t="n">
        <v>20</v>
      </c>
      <c r="AI247" t="n">
        <v>20</v>
      </c>
      <c r="AJ247" t="n">
        <v>9</v>
      </c>
      <c r="AK247" t="n">
        <v>9</v>
      </c>
      <c r="AL247" t="n">
        <v>19</v>
      </c>
      <c r="AM247" t="n">
        <v>19</v>
      </c>
      <c r="AN247" t="n">
        <v>6</v>
      </c>
      <c r="AO247" t="n">
        <v>6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HYPERLINK("http://catalog.hathitrust.org/Record/000256301","HathiTrust Record")</f>
        <v/>
      </c>
      <c r="AU247">
        <f>HYPERLINK("https://creighton-primo.hosted.exlibrisgroup.com/primo-explore/search?tab=default_tab&amp;search_scope=EVERYTHING&amp;vid=01CRU&amp;lang=en_US&amp;offset=0&amp;query=any,contains,991004657499702656","Catalog Record")</f>
        <v/>
      </c>
      <c r="AV247">
        <f>HYPERLINK("http://www.worldcat.org/oclc/4495692","WorldCat Record")</f>
        <v/>
      </c>
      <c r="AW247" t="inlineStr">
        <is>
          <t>463306:eng</t>
        </is>
      </c>
      <c r="AX247" t="inlineStr">
        <is>
          <t>4495692</t>
        </is>
      </c>
      <c r="AY247" t="inlineStr">
        <is>
          <t>991004657499702656</t>
        </is>
      </c>
      <c r="AZ247" t="inlineStr">
        <is>
          <t>991004657499702656</t>
        </is>
      </c>
      <c r="BA247" t="inlineStr">
        <is>
          <t>2268102070002656</t>
        </is>
      </c>
      <c r="BB247" t="inlineStr">
        <is>
          <t>BOOK</t>
        </is>
      </c>
      <c r="BD247" t="inlineStr">
        <is>
          <t>9780807011102</t>
        </is>
      </c>
      <c r="BE247" t="inlineStr">
        <is>
          <t>32285000345560</t>
        </is>
      </c>
      <c r="BF247" t="inlineStr">
        <is>
          <t>893331868</t>
        </is>
      </c>
    </row>
    <row r="248">
      <c r="A248" t="inlineStr">
        <is>
          <t>No</t>
        </is>
      </c>
      <c r="B248" t="inlineStr">
        <is>
          <t>CURAL</t>
        </is>
      </c>
      <c r="C248" t="inlineStr">
        <is>
          <t>SHELVES</t>
        </is>
      </c>
      <c r="D248" t="inlineStr">
        <is>
          <t>BL458 .O26</t>
        </is>
      </c>
      <c r="E248" t="inlineStr">
        <is>
          <t>0                      BL 0458000O  26</t>
        </is>
      </c>
      <c r="F248" t="inlineStr">
        <is>
          <t>The female experience and the nature of the divine / Judith Ochshorn.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Ochshorn, Judith, 1928-</t>
        </is>
      </c>
      <c r="N248" t="inlineStr">
        <is>
          <t>Bloomington : Indiana University Press, c1981.</t>
        </is>
      </c>
      <c r="O248" t="inlineStr">
        <is>
          <t>1981</t>
        </is>
      </c>
      <c r="Q248" t="inlineStr">
        <is>
          <t>eng</t>
        </is>
      </c>
      <c r="R248" t="inlineStr">
        <is>
          <t>inu</t>
        </is>
      </c>
      <c r="T248" t="inlineStr">
        <is>
          <t xml:space="preserve">BL </t>
        </is>
      </c>
      <c r="U248" t="n">
        <v>3</v>
      </c>
      <c r="V248" t="n">
        <v>3</v>
      </c>
      <c r="W248" t="inlineStr">
        <is>
          <t>2008-10-18</t>
        </is>
      </c>
      <c r="X248" t="inlineStr">
        <is>
          <t>2008-10-18</t>
        </is>
      </c>
      <c r="Y248" t="inlineStr">
        <is>
          <t>1990-10-08</t>
        </is>
      </c>
      <c r="Z248" t="inlineStr">
        <is>
          <t>1990-10-08</t>
        </is>
      </c>
      <c r="AA248" t="n">
        <v>680</v>
      </c>
      <c r="AB248" t="n">
        <v>592</v>
      </c>
      <c r="AC248" t="n">
        <v>603</v>
      </c>
      <c r="AD248" t="n">
        <v>5</v>
      </c>
      <c r="AE248" t="n">
        <v>5</v>
      </c>
      <c r="AF248" t="n">
        <v>34</v>
      </c>
      <c r="AG248" t="n">
        <v>34</v>
      </c>
      <c r="AH248" t="n">
        <v>12</v>
      </c>
      <c r="AI248" t="n">
        <v>12</v>
      </c>
      <c r="AJ248" t="n">
        <v>9</v>
      </c>
      <c r="AK248" t="n">
        <v>9</v>
      </c>
      <c r="AL248" t="n">
        <v>17</v>
      </c>
      <c r="AM248" t="n">
        <v>17</v>
      </c>
      <c r="AN248" t="n">
        <v>4</v>
      </c>
      <c r="AO248" t="n">
        <v>4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HYPERLINK("http://catalog.hathitrust.org/Record/000184590","HathiTrust Record")</f>
        <v/>
      </c>
      <c r="AU248">
        <f>HYPERLINK("https://creighton-primo.hosted.exlibrisgroup.com/primo-explore/search?tab=default_tab&amp;search_scope=EVERYTHING&amp;vid=01CRU&amp;lang=en_US&amp;offset=0&amp;query=any,contains,991005113629702656","Catalog Record")</f>
        <v/>
      </c>
      <c r="AV248">
        <f>HYPERLINK("http://www.worldcat.org/oclc/7460225","WorldCat Record")</f>
        <v/>
      </c>
      <c r="AW248" t="inlineStr">
        <is>
          <t>25771574:eng</t>
        </is>
      </c>
      <c r="AX248" t="inlineStr">
        <is>
          <t>7460225</t>
        </is>
      </c>
      <c r="AY248" t="inlineStr">
        <is>
          <t>991005113629702656</t>
        </is>
      </c>
      <c r="AZ248" t="inlineStr">
        <is>
          <t>991005113629702656</t>
        </is>
      </c>
      <c r="BA248" t="inlineStr">
        <is>
          <t>2264328530002656</t>
        </is>
      </c>
      <c r="BB248" t="inlineStr">
        <is>
          <t>BOOK</t>
        </is>
      </c>
      <c r="BD248" t="inlineStr">
        <is>
          <t>9780253318985</t>
        </is>
      </c>
      <c r="BE248" t="inlineStr">
        <is>
          <t>32285000345594</t>
        </is>
      </c>
      <c r="BF248" t="inlineStr">
        <is>
          <t>893443419</t>
        </is>
      </c>
    </row>
    <row r="249">
      <c r="A249" t="inlineStr">
        <is>
          <t>No</t>
        </is>
      </c>
      <c r="B249" t="inlineStr">
        <is>
          <t>CURAL</t>
        </is>
      </c>
      <c r="C249" t="inlineStr">
        <is>
          <t>SHELVES</t>
        </is>
      </c>
      <c r="D249" t="inlineStr">
        <is>
          <t>BL470 .F72</t>
        </is>
      </c>
      <c r="E249" t="inlineStr">
        <is>
          <t>0                      BL 0470000F  72</t>
        </is>
      </c>
      <c r="F249" t="inlineStr">
        <is>
          <t>The fear of the dead in primitive religion.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Frazer, James George, 1854-1941.</t>
        </is>
      </c>
      <c r="N249" t="inlineStr">
        <is>
          <t>New York, Biblo and Tannen, 1966.</t>
        </is>
      </c>
      <c r="O249" t="inlineStr">
        <is>
          <t>1966</t>
        </is>
      </c>
      <c r="Q249" t="inlineStr">
        <is>
          <t>eng</t>
        </is>
      </c>
      <c r="R249" t="inlineStr">
        <is>
          <t>nyu</t>
        </is>
      </c>
      <c r="S249" t="inlineStr">
        <is>
          <t>Lectures delivered on the Wiliam Wyse Foundation at Trinity College, Cambridge, 1932-33.</t>
        </is>
      </c>
      <c r="T249" t="inlineStr">
        <is>
          <t xml:space="preserve">BL </t>
        </is>
      </c>
      <c r="U249" t="n">
        <v>1</v>
      </c>
      <c r="V249" t="n">
        <v>1</v>
      </c>
      <c r="W249" t="inlineStr">
        <is>
          <t>2006-04-03</t>
        </is>
      </c>
      <c r="X249" t="inlineStr">
        <is>
          <t>2006-04-03</t>
        </is>
      </c>
      <c r="Y249" t="inlineStr">
        <is>
          <t>1990-10-09</t>
        </is>
      </c>
      <c r="Z249" t="inlineStr">
        <is>
          <t>1990-10-09</t>
        </is>
      </c>
      <c r="AA249" t="n">
        <v>298</v>
      </c>
      <c r="AB249" t="n">
        <v>277</v>
      </c>
      <c r="AC249" t="n">
        <v>385</v>
      </c>
      <c r="AD249" t="n">
        <v>4</v>
      </c>
      <c r="AE249" t="n">
        <v>6</v>
      </c>
      <c r="AF249" t="n">
        <v>14</v>
      </c>
      <c r="AG249" t="n">
        <v>19</v>
      </c>
      <c r="AH249" t="n">
        <v>4</v>
      </c>
      <c r="AI249" t="n">
        <v>4</v>
      </c>
      <c r="AJ249" t="n">
        <v>1</v>
      </c>
      <c r="AK249" t="n">
        <v>3</v>
      </c>
      <c r="AL249" t="n">
        <v>7</v>
      </c>
      <c r="AM249" t="n">
        <v>8</v>
      </c>
      <c r="AN249" t="n">
        <v>3</v>
      </c>
      <c r="AO249" t="n">
        <v>5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HYPERLINK("http://catalog.hathitrust.org/Record/007046556","HathiTrust Record")</f>
        <v/>
      </c>
      <c r="AU249">
        <f>HYPERLINK("https://creighton-primo.hosted.exlibrisgroup.com/primo-explore/search?tab=default_tab&amp;search_scope=EVERYTHING&amp;vid=01CRU&amp;lang=en_US&amp;offset=0&amp;query=any,contains,991001063789702656","Catalog Record")</f>
        <v/>
      </c>
      <c r="AV249">
        <f>HYPERLINK("http://www.worldcat.org/oclc/178191","WorldCat Record")</f>
        <v/>
      </c>
      <c r="AW249" t="inlineStr">
        <is>
          <t>1316078:eng</t>
        </is>
      </c>
      <c r="AX249" t="inlineStr">
        <is>
          <t>178191</t>
        </is>
      </c>
      <c r="AY249" t="inlineStr">
        <is>
          <t>991001063789702656</t>
        </is>
      </c>
      <c r="AZ249" t="inlineStr">
        <is>
          <t>991001063789702656</t>
        </is>
      </c>
      <c r="BA249" t="inlineStr">
        <is>
          <t>2264581240002656</t>
        </is>
      </c>
      <c r="BB249" t="inlineStr">
        <is>
          <t>BOOK</t>
        </is>
      </c>
      <c r="BE249" t="inlineStr">
        <is>
          <t>32285000345669</t>
        </is>
      </c>
      <c r="BF249" t="inlineStr">
        <is>
          <t>893708958</t>
        </is>
      </c>
    </row>
    <row r="250">
      <c r="A250" t="inlineStr">
        <is>
          <t>No</t>
        </is>
      </c>
      <c r="B250" t="inlineStr">
        <is>
          <t>CURAL</t>
        </is>
      </c>
      <c r="C250" t="inlineStr">
        <is>
          <t>SHELVES</t>
        </is>
      </c>
      <c r="D250" t="inlineStr">
        <is>
          <t>BL473 .B35 1983</t>
        </is>
      </c>
      <c r="E250" t="inlineStr">
        <is>
          <t>0                      BL 0473000B  35          1983</t>
        </is>
      </c>
      <c r="F250" t="inlineStr">
        <is>
          <t>The God-list in the treaty between Hannibal and Philip V of Macedonia : a study in light of the ancient near eastern treaty tradition / Michael L. Barré.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Barré, Michael L.</t>
        </is>
      </c>
      <c r="N250" t="inlineStr">
        <is>
          <t>Baltimore : Johns Hopkins University Press, c1983.</t>
        </is>
      </c>
      <c r="O250" t="inlineStr">
        <is>
          <t>1983</t>
        </is>
      </c>
      <c r="Q250" t="inlineStr">
        <is>
          <t>eng</t>
        </is>
      </c>
      <c r="R250" t="inlineStr">
        <is>
          <t>mdu</t>
        </is>
      </c>
      <c r="S250" t="inlineStr">
        <is>
          <t>Johns Hopkins Near Eastern studies</t>
        </is>
      </c>
      <c r="T250" t="inlineStr">
        <is>
          <t xml:space="preserve">BL </t>
        </is>
      </c>
      <c r="U250" t="n">
        <v>3</v>
      </c>
      <c r="V250" t="n">
        <v>3</v>
      </c>
      <c r="W250" t="inlineStr">
        <is>
          <t>1996-10-27</t>
        </is>
      </c>
      <c r="X250" t="inlineStr">
        <is>
          <t>1996-10-27</t>
        </is>
      </c>
      <c r="Y250" t="inlineStr">
        <is>
          <t>1990-10-09</t>
        </is>
      </c>
      <c r="Z250" t="inlineStr">
        <is>
          <t>1990-10-09</t>
        </is>
      </c>
      <c r="AA250" t="n">
        <v>306</v>
      </c>
      <c r="AB250" t="n">
        <v>241</v>
      </c>
      <c r="AC250" t="n">
        <v>242</v>
      </c>
      <c r="AD250" t="n">
        <v>3</v>
      </c>
      <c r="AE250" t="n">
        <v>3</v>
      </c>
      <c r="AF250" t="n">
        <v>13</v>
      </c>
      <c r="AG250" t="n">
        <v>13</v>
      </c>
      <c r="AH250" t="n">
        <v>1</v>
      </c>
      <c r="AI250" t="n">
        <v>1</v>
      </c>
      <c r="AJ250" t="n">
        <v>3</v>
      </c>
      <c r="AK250" t="n">
        <v>3</v>
      </c>
      <c r="AL250" t="n">
        <v>8</v>
      </c>
      <c r="AM250" t="n">
        <v>8</v>
      </c>
      <c r="AN250" t="n">
        <v>2</v>
      </c>
      <c r="AO250" t="n">
        <v>2</v>
      </c>
      <c r="AP250" t="n">
        <v>1</v>
      </c>
      <c r="AQ250" t="n">
        <v>1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HYPERLINK("http://catalog.hathitrust.org/Record/000240068","HathiTrust Record")</f>
        <v/>
      </c>
      <c r="AU250">
        <f>HYPERLINK("https://creighton-primo.hosted.exlibrisgroup.com/primo-explore/search?tab=default_tab&amp;search_scope=EVERYTHING&amp;vid=01CRU&amp;lang=en_US&amp;offset=0&amp;query=any,contains,991000044989702656","Catalog Record")</f>
        <v/>
      </c>
      <c r="AV250">
        <f>HYPERLINK("http://www.worldcat.org/oclc/8667928","WorldCat Record")</f>
        <v/>
      </c>
      <c r="AW250" t="inlineStr">
        <is>
          <t>807375414:eng</t>
        </is>
      </c>
      <c r="AX250" t="inlineStr">
        <is>
          <t>8667928</t>
        </is>
      </c>
      <c r="AY250" t="inlineStr">
        <is>
          <t>991000044989702656</t>
        </is>
      </c>
      <c r="AZ250" t="inlineStr">
        <is>
          <t>991000044989702656</t>
        </is>
      </c>
      <c r="BA250" t="inlineStr">
        <is>
          <t>2270225390002656</t>
        </is>
      </c>
      <c r="BB250" t="inlineStr">
        <is>
          <t>BOOK</t>
        </is>
      </c>
      <c r="BD250" t="inlineStr">
        <is>
          <t>9780801827877</t>
        </is>
      </c>
      <c r="BE250" t="inlineStr">
        <is>
          <t>32285000345677</t>
        </is>
      </c>
      <c r="BF250" t="inlineStr">
        <is>
          <t>893237026</t>
        </is>
      </c>
    </row>
    <row r="251">
      <c r="A251" t="inlineStr">
        <is>
          <t>No</t>
        </is>
      </c>
      <c r="B251" t="inlineStr">
        <is>
          <t>CURAL</t>
        </is>
      </c>
      <c r="C251" t="inlineStr">
        <is>
          <t>SHELVES</t>
        </is>
      </c>
      <c r="D251" t="inlineStr">
        <is>
          <t>BL475.5 .M38 1988</t>
        </is>
      </c>
      <c r="E251" t="inlineStr">
        <is>
          <t>0                      BL 0475500M  38          1988</t>
        </is>
      </c>
      <c r="F251" t="inlineStr">
        <is>
          <t>Revelation in religious belief / George I. Mavrodes.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M251" t="inlineStr">
        <is>
          <t>Mavrodes, George I.</t>
        </is>
      </c>
      <c r="N251" t="inlineStr">
        <is>
          <t>Philadelphia : Temple University Press, 1988.</t>
        </is>
      </c>
      <c r="O251" t="inlineStr">
        <is>
          <t>1988</t>
        </is>
      </c>
      <c r="Q251" t="inlineStr">
        <is>
          <t>eng</t>
        </is>
      </c>
      <c r="R251" t="inlineStr">
        <is>
          <t>pau</t>
        </is>
      </c>
      <c r="T251" t="inlineStr">
        <is>
          <t xml:space="preserve">BL </t>
        </is>
      </c>
      <c r="U251" t="n">
        <v>3</v>
      </c>
      <c r="V251" t="n">
        <v>3</v>
      </c>
      <c r="W251" t="inlineStr">
        <is>
          <t>1999-05-03</t>
        </is>
      </c>
      <c r="X251" t="inlineStr">
        <is>
          <t>1999-05-03</t>
        </is>
      </c>
      <c r="Y251" t="inlineStr">
        <is>
          <t>1992-03-06</t>
        </is>
      </c>
      <c r="Z251" t="inlineStr">
        <is>
          <t>1992-03-06</t>
        </is>
      </c>
      <c r="AA251" t="n">
        <v>365</v>
      </c>
      <c r="AB251" t="n">
        <v>316</v>
      </c>
      <c r="AC251" t="n">
        <v>321</v>
      </c>
      <c r="AD251" t="n">
        <v>3</v>
      </c>
      <c r="AE251" t="n">
        <v>3</v>
      </c>
      <c r="AF251" t="n">
        <v>24</v>
      </c>
      <c r="AG251" t="n">
        <v>24</v>
      </c>
      <c r="AH251" t="n">
        <v>10</v>
      </c>
      <c r="AI251" t="n">
        <v>10</v>
      </c>
      <c r="AJ251" t="n">
        <v>3</v>
      </c>
      <c r="AK251" t="n">
        <v>3</v>
      </c>
      <c r="AL251" t="n">
        <v>16</v>
      </c>
      <c r="AM251" t="n">
        <v>16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HYPERLINK("https://creighton-primo.hosted.exlibrisgroup.com/primo-explore/search?tab=default_tab&amp;search_scope=EVERYTHING&amp;vid=01CRU&amp;lang=en_US&amp;offset=0&amp;query=any,contains,991001164879702656","Catalog Record")</f>
        <v/>
      </c>
      <c r="AV251">
        <f>HYPERLINK("http://www.worldcat.org/oclc/16922516","WorldCat Record")</f>
        <v/>
      </c>
      <c r="AW251" t="inlineStr">
        <is>
          <t>13568704:eng</t>
        </is>
      </c>
      <c r="AX251" t="inlineStr">
        <is>
          <t>16922516</t>
        </is>
      </c>
      <c r="AY251" t="inlineStr">
        <is>
          <t>991001164879702656</t>
        </is>
      </c>
      <c r="AZ251" t="inlineStr">
        <is>
          <t>991001164879702656</t>
        </is>
      </c>
      <c r="BA251" t="inlineStr">
        <is>
          <t>2271785830002656</t>
        </is>
      </c>
      <c r="BB251" t="inlineStr">
        <is>
          <t>BOOK</t>
        </is>
      </c>
      <c r="BD251" t="inlineStr">
        <is>
          <t>9780877225454</t>
        </is>
      </c>
      <c r="BE251" t="inlineStr">
        <is>
          <t>32285000937556</t>
        </is>
      </c>
      <c r="BF251" t="inlineStr">
        <is>
          <t>893334118</t>
        </is>
      </c>
    </row>
    <row r="252">
      <c r="A252" t="inlineStr">
        <is>
          <t>No</t>
        </is>
      </c>
      <c r="B252" t="inlineStr">
        <is>
          <t>CURAL</t>
        </is>
      </c>
      <c r="C252" t="inlineStr">
        <is>
          <t>SHELVES</t>
        </is>
      </c>
      <c r="D252" t="inlineStr">
        <is>
          <t>BL477 .M52 1975</t>
        </is>
      </c>
      <c r="E252" t="inlineStr">
        <is>
          <t>0                      BL 0477000M  52          1975</t>
        </is>
      </c>
      <c r="F252" t="inlineStr">
        <is>
          <t>The earth spirit : its ways, shrines, and mysteries / John Michell.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Michell, John, 1933-2009.</t>
        </is>
      </c>
      <c r="N252" t="inlineStr">
        <is>
          <t>New York : Crossroad, c1975.</t>
        </is>
      </c>
      <c r="O252" t="inlineStr">
        <is>
          <t>1975</t>
        </is>
      </c>
      <c r="Q252" t="inlineStr">
        <is>
          <t>eng</t>
        </is>
      </c>
      <c r="R252" t="inlineStr">
        <is>
          <t>nyu</t>
        </is>
      </c>
      <c r="S252" t="inlineStr">
        <is>
          <t>The Illustrated library of sacred imagination</t>
        </is>
      </c>
      <c r="T252" t="inlineStr">
        <is>
          <t xml:space="preserve">BL </t>
        </is>
      </c>
      <c r="U252" t="n">
        <v>5</v>
      </c>
      <c r="V252" t="n">
        <v>5</v>
      </c>
      <c r="W252" t="inlineStr">
        <is>
          <t>1996-08-30</t>
        </is>
      </c>
      <c r="X252" t="inlineStr">
        <is>
          <t>1996-08-30</t>
        </is>
      </c>
      <c r="Y252" t="inlineStr">
        <is>
          <t>1990-10-09</t>
        </is>
      </c>
      <c r="Z252" t="inlineStr">
        <is>
          <t>1990-10-09</t>
        </is>
      </c>
      <c r="AA252" t="n">
        <v>219</v>
      </c>
      <c r="AB252" t="n">
        <v>210</v>
      </c>
      <c r="AC252" t="n">
        <v>339</v>
      </c>
      <c r="AD252" t="n">
        <v>1</v>
      </c>
      <c r="AE252" t="n">
        <v>2</v>
      </c>
      <c r="AF252" t="n">
        <v>7</v>
      </c>
      <c r="AG252" t="n">
        <v>12</v>
      </c>
      <c r="AH252" t="n">
        <v>2</v>
      </c>
      <c r="AI252" t="n">
        <v>6</v>
      </c>
      <c r="AJ252" t="n">
        <v>1</v>
      </c>
      <c r="AK252" t="n">
        <v>1</v>
      </c>
      <c r="AL252" t="n">
        <v>5</v>
      </c>
      <c r="AM252" t="n">
        <v>6</v>
      </c>
      <c r="AN252" t="n">
        <v>0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HYPERLINK("http://catalog.hathitrust.org/Record/007145741","HathiTrust Record")</f>
        <v/>
      </c>
      <c r="AU252">
        <f>HYPERLINK("https://creighton-primo.hosted.exlibrisgroup.com/primo-explore/search?tab=default_tab&amp;search_scope=EVERYTHING&amp;vid=01CRU&amp;lang=en_US&amp;offset=0&amp;query=any,contains,991005192009702656","Catalog Record")</f>
        <v/>
      </c>
      <c r="AV252">
        <f>HYPERLINK("http://www.worldcat.org/oclc/8012218","WorldCat Record")</f>
        <v/>
      </c>
      <c r="AW252" t="inlineStr">
        <is>
          <t>907995154:eng</t>
        </is>
      </c>
      <c r="AX252" t="inlineStr">
        <is>
          <t>8012218</t>
        </is>
      </c>
      <c r="AY252" t="inlineStr">
        <is>
          <t>991005192009702656</t>
        </is>
      </c>
      <c r="AZ252" t="inlineStr">
        <is>
          <t>991005192009702656</t>
        </is>
      </c>
      <c r="BA252" t="inlineStr">
        <is>
          <t>2261355320002656</t>
        </is>
      </c>
      <c r="BB252" t="inlineStr">
        <is>
          <t>BOOK</t>
        </is>
      </c>
      <c r="BE252" t="inlineStr">
        <is>
          <t>32285000345719</t>
        </is>
      </c>
      <c r="BF252" t="inlineStr">
        <is>
          <t>893501473</t>
        </is>
      </c>
    </row>
    <row r="253">
      <c r="A253" t="inlineStr">
        <is>
          <t>No</t>
        </is>
      </c>
      <c r="B253" t="inlineStr">
        <is>
          <t>CURAL</t>
        </is>
      </c>
      <c r="C253" t="inlineStr">
        <is>
          <t>SHELVES</t>
        </is>
      </c>
      <c r="D253" t="inlineStr">
        <is>
          <t>BL48 .B3713 1989</t>
        </is>
      </c>
      <c r="E253" t="inlineStr">
        <is>
          <t>0                      BL 0048000B  3713        1989</t>
        </is>
      </c>
      <c r="F253" t="inlineStr">
        <is>
          <t>Theory of religion / Georges Bataille ; translated by Robert Hurley.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Bataille, Georges, 1897-1962.</t>
        </is>
      </c>
      <c r="N253" t="inlineStr">
        <is>
          <t>New York : Zone Books, 1989.</t>
        </is>
      </c>
      <c r="O253" t="inlineStr">
        <is>
          <t>1989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BL </t>
        </is>
      </c>
      <c r="U253" t="n">
        <v>4</v>
      </c>
      <c r="V253" t="n">
        <v>4</v>
      </c>
      <c r="W253" t="inlineStr">
        <is>
          <t>2008-01-31</t>
        </is>
      </c>
      <c r="X253" t="inlineStr">
        <is>
          <t>2008-01-31</t>
        </is>
      </c>
      <c r="Y253" t="inlineStr">
        <is>
          <t>1991-07-12</t>
        </is>
      </c>
      <c r="Z253" t="inlineStr">
        <is>
          <t>1991-07-12</t>
        </is>
      </c>
      <c r="AA253" t="n">
        <v>461</v>
      </c>
      <c r="AB253" t="n">
        <v>351</v>
      </c>
      <c r="AC253" t="n">
        <v>386</v>
      </c>
      <c r="AD253" t="n">
        <v>3</v>
      </c>
      <c r="AE253" t="n">
        <v>3</v>
      </c>
      <c r="AF253" t="n">
        <v>20</v>
      </c>
      <c r="AG253" t="n">
        <v>20</v>
      </c>
      <c r="AH253" t="n">
        <v>5</v>
      </c>
      <c r="AI253" t="n">
        <v>5</v>
      </c>
      <c r="AJ253" t="n">
        <v>6</v>
      </c>
      <c r="AK253" t="n">
        <v>6</v>
      </c>
      <c r="AL253" t="n">
        <v>12</v>
      </c>
      <c r="AM253" t="n">
        <v>12</v>
      </c>
      <c r="AN253" t="n">
        <v>2</v>
      </c>
      <c r="AO253" t="n">
        <v>2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HYPERLINK("http://catalog.hathitrust.org/Record/004534822","HathiTrust Record")</f>
        <v/>
      </c>
      <c r="AU253">
        <f>HYPERLINK("https://creighton-primo.hosted.exlibrisgroup.com/primo-explore/search?tab=default_tab&amp;search_scope=EVERYTHING&amp;vid=01CRU&amp;lang=en_US&amp;offset=0&amp;query=any,contains,991001319899702656","Catalog Record")</f>
        <v/>
      </c>
      <c r="AV253">
        <f>HYPERLINK("http://www.worldcat.org/oclc/18221741","WorldCat Record")</f>
        <v/>
      </c>
      <c r="AW253" t="inlineStr">
        <is>
          <t>5090548466:eng</t>
        </is>
      </c>
      <c r="AX253" t="inlineStr">
        <is>
          <t>18221741</t>
        </is>
      </c>
      <c r="AY253" t="inlineStr">
        <is>
          <t>991001319899702656</t>
        </is>
      </c>
      <c r="AZ253" t="inlineStr">
        <is>
          <t>991001319899702656</t>
        </is>
      </c>
      <c r="BA253" t="inlineStr">
        <is>
          <t>2260197300002656</t>
        </is>
      </c>
      <c r="BB253" t="inlineStr">
        <is>
          <t>BOOK</t>
        </is>
      </c>
      <c r="BD253" t="inlineStr">
        <is>
          <t>9780942299090</t>
        </is>
      </c>
      <c r="BE253" t="inlineStr">
        <is>
          <t>32285000638998</t>
        </is>
      </c>
      <c r="BF253" t="inlineStr">
        <is>
          <t>893803546</t>
        </is>
      </c>
    </row>
    <row r="254">
      <c r="A254" t="inlineStr">
        <is>
          <t>No</t>
        </is>
      </c>
      <c r="B254" t="inlineStr">
        <is>
          <t>CURAL</t>
        </is>
      </c>
      <c r="C254" t="inlineStr">
        <is>
          <t>SHELVES</t>
        </is>
      </c>
      <c r="D254" t="inlineStr">
        <is>
          <t>BL48 .B56 1972</t>
        </is>
      </c>
      <c r="E254" t="inlineStr">
        <is>
          <t>0                      BL 0048000B  56          1972</t>
        </is>
      </c>
      <c r="F254" t="inlineStr">
        <is>
          <t>The future of religion.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Bliss, Kathleen.</t>
        </is>
      </c>
      <c r="N254" t="inlineStr">
        <is>
          <t>[Harmondsworth, Middlesex] Penguin Books [1972, 1969]</t>
        </is>
      </c>
      <c r="O254" t="inlineStr">
        <is>
          <t>1972</t>
        </is>
      </c>
      <c r="Q254" t="inlineStr">
        <is>
          <t>eng</t>
        </is>
      </c>
      <c r="R254" t="inlineStr">
        <is>
          <t>___</t>
        </is>
      </c>
      <c r="S254" t="inlineStr">
        <is>
          <t>A Pelican book</t>
        </is>
      </c>
      <c r="T254" t="inlineStr">
        <is>
          <t xml:space="preserve">BL </t>
        </is>
      </c>
      <c r="U254" t="n">
        <v>3</v>
      </c>
      <c r="V254" t="n">
        <v>3</v>
      </c>
      <c r="W254" t="inlineStr">
        <is>
          <t>1996-04-23</t>
        </is>
      </c>
      <c r="X254" t="inlineStr">
        <is>
          <t>1996-04-23</t>
        </is>
      </c>
      <c r="Y254" t="inlineStr">
        <is>
          <t>1990-09-24</t>
        </is>
      </c>
      <c r="Z254" t="inlineStr">
        <is>
          <t>1990-09-24</t>
        </is>
      </c>
      <c r="AA254" t="n">
        <v>103</v>
      </c>
      <c r="AB254" t="n">
        <v>51</v>
      </c>
      <c r="AC254" t="n">
        <v>147</v>
      </c>
      <c r="AD254" t="n">
        <v>1</v>
      </c>
      <c r="AE254" t="n">
        <v>2</v>
      </c>
      <c r="AF254" t="n">
        <v>3</v>
      </c>
      <c r="AG254" t="n">
        <v>8</v>
      </c>
      <c r="AH254" t="n">
        <v>1</v>
      </c>
      <c r="AI254" t="n">
        <v>3</v>
      </c>
      <c r="AJ254" t="n">
        <v>0</v>
      </c>
      <c r="AK254" t="n">
        <v>0</v>
      </c>
      <c r="AL254" t="n">
        <v>3</v>
      </c>
      <c r="AM254" t="n">
        <v>5</v>
      </c>
      <c r="AN254" t="n">
        <v>0</v>
      </c>
      <c r="AO254" t="n">
        <v>1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HYPERLINK("https://creighton-primo.hosted.exlibrisgroup.com/primo-explore/search?tab=default_tab&amp;search_scope=EVERYTHING&amp;vid=01CRU&amp;lang=en_US&amp;offset=0&amp;query=any,contains,991003348849702656","Catalog Record")</f>
        <v/>
      </c>
      <c r="AV254">
        <f>HYPERLINK("http://www.worldcat.org/oclc/881050","WorldCat Record")</f>
        <v/>
      </c>
      <c r="AW254" t="inlineStr">
        <is>
          <t>1245362:eng</t>
        </is>
      </c>
      <c r="AX254" t="inlineStr">
        <is>
          <t>881050</t>
        </is>
      </c>
      <c r="AY254" t="inlineStr">
        <is>
          <t>991003348849702656</t>
        </is>
      </c>
      <c r="AZ254" t="inlineStr">
        <is>
          <t>991003348849702656</t>
        </is>
      </c>
      <c r="BA254" t="inlineStr">
        <is>
          <t>2261799740002656</t>
        </is>
      </c>
      <c r="BB254" t="inlineStr">
        <is>
          <t>BOOK</t>
        </is>
      </c>
      <c r="BD254" t="inlineStr">
        <is>
          <t>9780296348369</t>
        </is>
      </c>
      <c r="BE254" t="inlineStr">
        <is>
          <t>32285000308683</t>
        </is>
      </c>
      <c r="BF254" t="inlineStr">
        <is>
          <t>893698939</t>
        </is>
      </c>
    </row>
    <row r="255">
      <c r="A255" t="inlineStr">
        <is>
          <t>No</t>
        </is>
      </c>
      <c r="B255" t="inlineStr">
        <is>
          <t>CURAL</t>
        </is>
      </c>
      <c r="C255" t="inlineStr">
        <is>
          <t>SHELVES</t>
        </is>
      </c>
      <c r="D255" t="inlineStr">
        <is>
          <t>BL48 .C325 1990</t>
        </is>
      </c>
      <c r="E255" t="inlineStr">
        <is>
          <t>0                      BL 0048000C  325         1990</t>
        </is>
      </c>
      <c r="F255" t="inlineStr">
        <is>
          <t>An open life / Joseph Campbell in conversation with Michael Toms ; foreword by Jean Erdman Campbell ; selected and edited by John M. Maher and Dennie Briggs.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Campbell, Joseph, 1904-1987.</t>
        </is>
      </c>
      <c r="N255" t="inlineStr">
        <is>
          <t>New York : Perennial Library, 1990.</t>
        </is>
      </c>
      <c r="O255" t="inlineStr">
        <is>
          <t>1990</t>
        </is>
      </c>
      <c r="P255" t="inlineStr">
        <is>
          <t>1st Perennial Library ed.</t>
        </is>
      </c>
      <c r="Q255" t="inlineStr">
        <is>
          <t>eng</t>
        </is>
      </c>
      <c r="R255" t="inlineStr">
        <is>
          <t>nyu</t>
        </is>
      </c>
      <c r="T255" t="inlineStr">
        <is>
          <t xml:space="preserve">BL </t>
        </is>
      </c>
      <c r="U255" t="n">
        <v>5</v>
      </c>
      <c r="V255" t="n">
        <v>5</v>
      </c>
      <c r="W255" t="inlineStr">
        <is>
          <t>1997-12-08</t>
        </is>
      </c>
      <c r="X255" t="inlineStr">
        <is>
          <t>1997-12-08</t>
        </is>
      </c>
      <c r="Y255" t="inlineStr">
        <is>
          <t>1991-11-18</t>
        </is>
      </c>
      <c r="Z255" t="inlineStr">
        <is>
          <t>1991-11-18</t>
        </is>
      </c>
      <c r="AA255" t="n">
        <v>311</v>
      </c>
      <c r="AB255" t="n">
        <v>290</v>
      </c>
      <c r="AC255" t="n">
        <v>755</v>
      </c>
      <c r="AD255" t="n">
        <v>3</v>
      </c>
      <c r="AE255" t="n">
        <v>5</v>
      </c>
      <c r="AF255" t="n">
        <v>15</v>
      </c>
      <c r="AG255" t="n">
        <v>32</v>
      </c>
      <c r="AH255" t="n">
        <v>6</v>
      </c>
      <c r="AI255" t="n">
        <v>15</v>
      </c>
      <c r="AJ255" t="n">
        <v>4</v>
      </c>
      <c r="AK255" t="n">
        <v>6</v>
      </c>
      <c r="AL255" t="n">
        <v>5</v>
      </c>
      <c r="AM255" t="n">
        <v>12</v>
      </c>
      <c r="AN255" t="n">
        <v>2</v>
      </c>
      <c r="AO255" t="n">
        <v>4</v>
      </c>
      <c r="AP255" t="n">
        <v>0</v>
      </c>
      <c r="AQ255" t="n">
        <v>0</v>
      </c>
      <c r="AR255" t="inlineStr">
        <is>
          <t>No</t>
        </is>
      </c>
      <c r="AS255" t="inlineStr">
        <is>
          <t>No</t>
        </is>
      </c>
      <c r="AU255">
        <f>HYPERLINK("https://creighton-primo.hosted.exlibrisgroup.com/primo-explore/search?tab=default_tab&amp;search_scope=EVERYTHING&amp;vid=01CRU&amp;lang=en_US&amp;offset=0&amp;query=any,contains,991001513479702656","Catalog Record")</f>
        <v/>
      </c>
      <c r="AV255">
        <f>HYPERLINK("http://www.worldcat.org/oclc/19920594","WorldCat Record")</f>
        <v/>
      </c>
      <c r="AW255" t="inlineStr">
        <is>
          <t>950247256:eng</t>
        </is>
      </c>
      <c r="AX255" t="inlineStr">
        <is>
          <t>19920594</t>
        </is>
      </c>
      <c r="AY255" t="inlineStr">
        <is>
          <t>991001513479702656</t>
        </is>
      </c>
      <c r="AZ255" t="inlineStr">
        <is>
          <t>991001513479702656</t>
        </is>
      </c>
      <c r="BA255" t="inlineStr">
        <is>
          <t>2269090280002656</t>
        </is>
      </c>
      <c r="BB255" t="inlineStr">
        <is>
          <t>BOOK</t>
        </is>
      </c>
      <c r="BD255" t="inlineStr">
        <is>
          <t>9780060972950</t>
        </is>
      </c>
      <c r="BE255" t="inlineStr">
        <is>
          <t>32285000816529</t>
        </is>
      </c>
      <c r="BF255" t="inlineStr">
        <is>
          <t>893509666</t>
        </is>
      </c>
    </row>
    <row r="256">
      <c r="A256" t="inlineStr">
        <is>
          <t>No</t>
        </is>
      </c>
      <c r="B256" t="inlineStr">
        <is>
          <t>CURAL</t>
        </is>
      </c>
      <c r="C256" t="inlineStr">
        <is>
          <t>SHELVES</t>
        </is>
      </c>
      <c r="D256" t="inlineStr">
        <is>
          <t>BL48 .C5535 1993</t>
        </is>
      </c>
      <c r="E256" t="inlineStr">
        <is>
          <t>0                      BL 0048000C  5535        1993</t>
        </is>
      </c>
      <c r="F256" t="inlineStr">
        <is>
          <t>Religion defined and explained / Peter B. Clarke and Peter Byrne.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Clarke, Peter B. (Peter Bernard)</t>
        </is>
      </c>
      <c r="N256" t="inlineStr">
        <is>
          <t>New York, N.Y. : St. Martin's Press, 1993.</t>
        </is>
      </c>
      <c r="O256" t="inlineStr">
        <is>
          <t>1993</t>
        </is>
      </c>
      <c r="Q256" t="inlineStr">
        <is>
          <t>eng</t>
        </is>
      </c>
      <c r="R256" t="inlineStr">
        <is>
          <t>nyu</t>
        </is>
      </c>
      <c r="T256" t="inlineStr">
        <is>
          <t xml:space="preserve">BL </t>
        </is>
      </c>
      <c r="U256" t="n">
        <v>4</v>
      </c>
      <c r="V256" t="n">
        <v>4</v>
      </c>
      <c r="W256" t="inlineStr">
        <is>
          <t>2006-03-28</t>
        </is>
      </c>
      <c r="X256" t="inlineStr">
        <is>
          <t>2006-03-28</t>
        </is>
      </c>
      <c r="Y256" t="inlineStr">
        <is>
          <t>1994-01-14</t>
        </is>
      </c>
      <c r="Z256" t="inlineStr">
        <is>
          <t>1994-01-14</t>
        </is>
      </c>
      <c r="AA256" t="n">
        <v>325</v>
      </c>
      <c r="AB256" t="n">
        <v>237</v>
      </c>
      <c r="AC256" t="n">
        <v>256</v>
      </c>
      <c r="AD256" t="n">
        <v>3</v>
      </c>
      <c r="AE256" t="n">
        <v>3</v>
      </c>
      <c r="AF256" t="n">
        <v>19</v>
      </c>
      <c r="AG256" t="n">
        <v>19</v>
      </c>
      <c r="AH256" t="n">
        <v>7</v>
      </c>
      <c r="AI256" t="n">
        <v>7</v>
      </c>
      <c r="AJ256" t="n">
        <v>3</v>
      </c>
      <c r="AK256" t="n">
        <v>3</v>
      </c>
      <c r="AL256" t="n">
        <v>13</v>
      </c>
      <c r="AM256" t="n">
        <v>13</v>
      </c>
      <c r="AN256" t="n">
        <v>2</v>
      </c>
      <c r="AO256" t="n">
        <v>2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HYPERLINK("https://creighton-primo.hosted.exlibrisgroup.com/primo-explore/search?tab=default_tab&amp;search_scope=EVERYTHING&amp;vid=01CRU&amp;lang=en_US&amp;offset=0&amp;query=any,contains,991002111229702656","Catalog Record")</f>
        <v/>
      </c>
      <c r="AV256">
        <f>HYPERLINK("http://www.worldcat.org/oclc/27066321","WorldCat Record")</f>
        <v/>
      </c>
      <c r="AW256" t="inlineStr">
        <is>
          <t>180799:eng</t>
        </is>
      </c>
      <c r="AX256" t="inlineStr">
        <is>
          <t>27066321</t>
        </is>
      </c>
      <c r="AY256" t="inlineStr">
        <is>
          <t>991002111229702656</t>
        </is>
      </c>
      <c r="AZ256" t="inlineStr">
        <is>
          <t>991002111229702656</t>
        </is>
      </c>
      <c r="BA256" t="inlineStr">
        <is>
          <t>2256896860002656</t>
        </is>
      </c>
      <c r="BB256" t="inlineStr">
        <is>
          <t>BOOK</t>
        </is>
      </c>
      <c r="BD256" t="inlineStr">
        <is>
          <t>9780312094720</t>
        </is>
      </c>
      <c r="BE256" t="inlineStr">
        <is>
          <t>32285001832160</t>
        </is>
      </c>
      <c r="BF256" t="inlineStr">
        <is>
          <t>893792045</t>
        </is>
      </c>
    </row>
    <row r="257">
      <c r="A257" t="inlineStr">
        <is>
          <t>No</t>
        </is>
      </c>
      <c r="B257" t="inlineStr">
        <is>
          <t>CURAL</t>
        </is>
      </c>
      <c r="C257" t="inlineStr">
        <is>
          <t>SHELVES</t>
        </is>
      </c>
      <c r="D257" t="inlineStr">
        <is>
          <t>BL48 .C554 1991</t>
        </is>
      </c>
      <c r="E257" t="inlineStr">
        <is>
          <t>0                      BL 0048000C  554         1991</t>
        </is>
      </c>
      <c r="F257" t="inlineStr">
        <is>
          <t>The myth of religious neutrality : an essay on the hidden role of religious belief in theories / Roy A. Clouser.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Clouser, Roy A., 1937-</t>
        </is>
      </c>
      <c r="N257" t="inlineStr">
        <is>
          <t>Notre Dame, Ind. : University of Notre Dame Press, c1991.</t>
        </is>
      </c>
      <c r="O257" t="inlineStr">
        <is>
          <t>1991</t>
        </is>
      </c>
      <c r="Q257" t="inlineStr">
        <is>
          <t>eng</t>
        </is>
      </c>
      <c r="R257" t="inlineStr">
        <is>
          <t>inu</t>
        </is>
      </c>
      <c r="T257" t="inlineStr">
        <is>
          <t xml:space="preserve">BL </t>
        </is>
      </c>
      <c r="U257" t="n">
        <v>3</v>
      </c>
      <c r="V257" t="n">
        <v>3</v>
      </c>
      <c r="W257" t="inlineStr">
        <is>
          <t>1993-09-08</t>
        </is>
      </c>
      <c r="X257" t="inlineStr">
        <is>
          <t>1993-09-08</t>
        </is>
      </c>
      <c r="Y257" t="inlineStr">
        <is>
          <t>1992-05-28</t>
        </is>
      </c>
      <c r="Z257" t="inlineStr">
        <is>
          <t>1992-05-28</t>
        </is>
      </c>
      <c r="AA257" t="n">
        <v>462</v>
      </c>
      <c r="AB257" t="n">
        <v>375</v>
      </c>
      <c r="AC257" t="n">
        <v>882</v>
      </c>
      <c r="AD257" t="n">
        <v>4</v>
      </c>
      <c r="AE257" t="n">
        <v>4</v>
      </c>
      <c r="AF257" t="n">
        <v>26</v>
      </c>
      <c r="AG257" t="n">
        <v>35</v>
      </c>
      <c r="AH257" t="n">
        <v>9</v>
      </c>
      <c r="AI257" t="n">
        <v>15</v>
      </c>
      <c r="AJ257" t="n">
        <v>7</v>
      </c>
      <c r="AK257" t="n">
        <v>10</v>
      </c>
      <c r="AL257" t="n">
        <v>12</v>
      </c>
      <c r="AM257" t="n">
        <v>17</v>
      </c>
      <c r="AN257" t="n">
        <v>3</v>
      </c>
      <c r="AO257" t="n">
        <v>3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HYPERLINK("http://catalog.hathitrust.org/Record/002574804","HathiTrust Record")</f>
        <v/>
      </c>
      <c r="AU257">
        <f>HYPERLINK("https://creighton-primo.hosted.exlibrisgroup.com/primo-explore/search?tab=default_tab&amp;search_scope=EVERYTHING&amp;vid=01CRU&amp;lang=en_US&amp;offset=0&amp;query=any,contains,991001929609702656","Catalog Record")</f>
        <v/>
      </c>
      <c r="AV257">
        <f>HYPERLINK("http://www.worldcat.org/oclc/24375107","WorldCat Record")</f>
        <v/>
      </c>
      <c r="AW257" t="inlineStr">
        <is>
          <t>3059349:eng</t>
        </is>
      </c>
      <c r="AX257" t="inlineStr">
        <is>
          <t>24375107</t>
        </is>
      </c>
      <c r="AY257" t="inlineStr">
        <is>
          <t>991001929609702656</t>
        </is>
      </c>
      <c r="AZ257" t="inlineStr">
        <is>
          <t>991001929609702656</t>
        </is>
      </c>
      <c r="BA257" t="inlineStr">
        <is>
          <t>2266694640002656</t>
        </is>
      </c>
      <c r="BB257" t="inlineStr">
        <is>
          <t>BOOK</t>
        </is>
      </c>
      <c r="BD257" t="inlineStr">
        <is>
          <t>9780268013905</t>
        </is>
      </c>
      <c r="BE257" t="inlineStr">
        <is>
          <t>32285001119329</t>
        </is>
      </c>
      <c r="BF257" t="inlineStr">
        <is>
          <t>893232389</t>
        </is>
      </c>
    </row>
    <row r="258">
      <c r="A258" t="inlineStr">
        <is>
          <t>No</t>
        </is>
      </c>
      <c r="B258" t="inlineStr">
        <is>
          <t>CURAL</t>
        </is>
      </c>
      <c r="C258" t="inlineStr">
        <is>
          <t>SHELVES</t>
        </is>
      </c>
      <c r="D258" t="inlineStr">
        <is>
          <t>BL48 .C556</t>
        </is>
      </c>
      <c r="E258" t="inlineStr">
        <is>
          <t>0                      BL 0048000C  556</t>
        </is>
      </c>
      <c r="F258" t="inlineStr">
        <is>
          <t>Religion in a secular age; the search for final meaning. Pref. by Arnold Toynbee.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Cogley, John.</t>
        </is>
      </c>
      <c r="N258" t="inlineStr">
        <is>
          <t>New York, Praeger [1968]</t>
        </is>
      </c>
      <c r="O258" t="inlineStr">
        <is>
          <t>1968</t>
        </is>
      </c>
      <c r="Q258" t="inlineStr">
        <is>
          <t>eng</t>
        </is>
      </c>
      <c r="R258" t="inlineStr">
        <is>
          <t>nyu</t>
        </is>
      </c>
      <c r="S258" t="inlineStr">
        <is>
          <t>Britannica perspective</t>
        </is>
      </c>
      <c r="T258" t="inlineStr">
        <is>
          <t xml:space="preserve">BL </t>
        </is>
      </c>
      <c r="U258" t="n">
        <v>1</v>
      </c>
      <c r="V258" t="n">
        <v>1</v>
      </c>
      <c r="W258" t="inlineStr">
        <is>
          <t>1994-09-20</t>
        </is>
      </c>
      <c r="X258" t="inlineStr">
        <is>
          <t>1994-09-20</t>
        </is>
      </c>
      <c r="Y258" t="inlineStr">
        <is>
          <t>1990-09-24</t>
        </is>
      </c>
      <c r="Z258" t="inlineStr">
        <is>
          <t>1990-09-24</t>
        </is>
      </c>
      <c r="AA258" t="n">
        <v>461</v>
      </c>
      <c r="AB258" t="n">
        <v>421</v>
      </c>
      <c r="AC258" t="n">
        <v>495</v>
      </c>
      <c r="AD258" t="n">
        <v>4</v>
      </c>
      <c r="AE258" t="n">
        <v>4</v>
      </c>
      <c r="AF258" t="n">
        <v>24</v>
      </c>
      <c r="AG258" t="n">
        <v>29</v>
      </c>
      <c r="AH258" t="n">
        <v>8</v>
      </c>
      <c r="AI258" t="n">
        <v>10</v>
      </c>
      <c r="AJ258" t="n">
        <v>5</v>
      </c>
      <c r="AK258" t="n">
        <v>6</v>
      </c>
      <c r="AL258" t="n">
        <v>16</v>
      </c>
      <c r="AM258" t="n">
        <v>19</v>
      </c>
      <c r="AN258" t="n">
        <v>3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HYPERLINK("http://catalog.hathitrust.org/Record/001391100","HathiTrust Record")</f>
        <v/>
      </c>
      <c r="AU258">
        <f>HYPERLINK("https://creighton-primo.hosted.exlibrisgroup.com/primo-explore/search?tab=default_tab&amp;search_scope=EVERYTHING&amp;vid=01CRU&amp;lang=en_US&amp;offset=0&amp;query=any,contains,991002803879702656","Catalog Record")</f>
        <v/>
      </c>
      <c r="AV258">
        <f>HYPERLINK("http://www.worldcat.org/oclc/448821","WorldCat Record")</f>
        <v/>
      </c>
      <c r="AW258" t="inlineStr">
        <is>
          <t>1241799:eng</t>
        </is>
      </c>
      <c r="AX258" t="inlineStr">
        <is>
          <t>448821</t>
        </is>
      </c>
      <c r="AY258" t="inlineStr">
        <is>
          <t>991002803879702656</t>
        </is>
      </c>
      <c r="AZ258" t="inlineStr">
        <is>
          <t>991002803879702656</t>
        </is>
      </c>
      <c r="BA258" t="inlineStr">
        <is>
          <t>2266685120002656</t>
        </is>
      </c>
      <c r="BB258" t="inlineStr">
        <is>
          <t>BOOK</t>
        </is>
      </c>
      <c r="BE258" t="inlineStr">
        <is>
          <t>32285000308717</t>
        </is>
      </c>
      <c r="BF258" t="inlineStr">
        <is>
          <t>893530492</t>
        </is>
      </c>
    </row>
    <row r="259">
      <c r="A259" t="inlineStr">
        <is>
          <t>No</t>
        </is>
      </c>
      <c r="B259" t="inlineStr">
        <is>
          <t>CURAL</t>
        </is>
      </c>
      <c r="C259" t="inlineStr">
        <is>
          <t>SHELVES</t>
        </is>
      </c>
      <c r="D259" t="inlineStr">
        <is>
          <t>BL48 .C565 1978</t>
        </is>
      </c>
      <c r="E259" t="inlineStr">
        <is>
          <t>0                      BL 0048000C  565         1978</t>
        </is>
      </c>
      <c r="F259" t="inlineStr">
        <is>
          <t>Primitive religion / John J. Collins.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Collins, John J. (John James), 1938-</t>
        </is>
      </c>
      <c r="N259" t="inlineStr">
        <is>
          <t>Totowa, N.J. : Littlefield, Adams, c1978.</t>
        </is>
      </c>
      <c r="O259" t="inlineStr">
        <is>
          <t>1978</t>
        </is>
      </c>
      <c r="Q259" t="inlineStr">
        <is>
          <t>eng</t>
        </is>
      </c>
      <c r="R259" t="inlineStr">
        <is>
          <t>nju</t>
        </is>
      </c>
      <c r="S259" t="inlineStr">
        <is>
          <t>A Littlefield, Adams quality paperback ; 342</t>
        </is>
      </c>
      <c r="T259" t="inlineStr">
        <is>
          <t xml:space="preserve">BL </t>
        </is>
      </c>
      <c r="U259" t="n">
        <v>3</v>
      </c>
      <c r="V259" t="n">
        <v>3</v>
      </c>
      <c r="W259" t="inlineStr">
        <is>
          <t>2004-04-15</t>
        </is>
      </c>
      <c r="X259" t="inlineStr">
        <is>
          <t>2004-04-15</t>
        </is>
      </c>
      <c r="Y259" t="inlineStr">
        <is>
          <t>1990-09-24</t>
        </is>
      </c>
      <c r="Z259" t="inlineStr">
        <is>
          <t>1990-09-24</t>
        </is>
      </c>
      <c r="AA259" t="n">
        <v>184</v>
      </c>
      <c r="AB259" t="n">
        <v>146</v>
      </c>
      <c r="AC259" t="n">
        <v>250</v>
      </c>
      <c r="AD259" t="n">
        <v>1</v>
      </c>
      <c r="AE259" t="n">
        <v>1</v>
      </c>
      <c r="AF259" t="n">
        <v>8</v>
      </c>
      <c r="AG259" t="n">
        <v>12</v>
      </c>
      <c r="AH259" t="n">
        <v>4</v>
      </c>
      <c r="AI259" t="n">
        <v>6</v>
      </c>
      <c r="AJ259" t="n">
        <v>0</v>
      </c>
      <c r="AK259" t="n">
        <v>2</v>
      </c>
      <c r="AL259" t="n">
        <v>6</v>
      </c>
      <c r="AM259" t="n">
        <v>7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HYPERLINK("https://creighton-primo.hosted.exlibrisgroup.com/primo-explore/search?tab=default_tab&amp;search_scope=EVERYTHING&amp;vid=01CRU&amp;lang=en_US&amp;offset=0&amp;query=any,contains,991004512109702656","Catalog Record")</f>
        <v/>
      </c>
      <c r="AV259">
        <f>HYPERLINK("http://www.worldcat.org/oclc/3770759","WorldCat Record")</f>
        <v/>
      </c>
      <c r="AW259" t="inlineStr">
        <is>
          <t>12218543:eng</t>
        </is>
      </c>
      <c r="AX259" t="inlineStr">
        <is>
          <t>3770759</t>
        </is>
      </c>
      <c r="AY259" t="inlineStr">
        <is>
          <t>991004512109702656</t>
        </is>
      </c>
      <c r="AZ259" t="inlineStr">
        <is>
          <t>991004512109702656</t>
        </is>
      </c>
      <c r="BA259" t="inlineStr">
        <is>
          <t>2260744570002656</t>
        </is>
      </c>
      <c r="BB259" t="inlineStr">
        <is>
          <t>BOOK</t>
        </is>
      </c>
      <c r="BD259" t="inlineStr">
        <is>
          <t>9780822603429</t>
        </is>
      </c>
      <c r="BE259" t="inlineStr">
        <is>
          <t>32285000308725</t>
        </is>
      </c>
      <c r="BF259" t="inlineStr">
        <is>
          <t>893700337</t>
        </is>
      </c>
    </row>
    <row r="260">
      <c r="A260" t="inlineStr">
        <is>
          <t>No</t>
        </is>
      </c>
      <c r="B260" t="inlineStr">
        <is>
          <t>CURAL</t>
        </is>
      </c>
      <c r="C260" t="inlineStr">
        <is>
          <t>SHELVES</t>
        </is>
      </c>
      <c r="D260" t="inlineStr">
        <is>
          <t>BL48 .D3725 1974</t>
        </is>
      </c>
      <c r="E260" t="inlineStr">
        <is>
          <t>0                      BL 0048000D  3725        1974</t>
        </is>
      </c>
      <c r="F260" t="inlineStr">
        <is>
          <t>Temptations of religion.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Davis, Charles, 1923-1999.</t>
        </is>
      </c>
      <c r="N260" t="inlineStr">
        <is>
          <t>New York, Harper &amp; Row [1974, c1973]</t>
        </is>
      </c>
      <c r="O260" t="inlineStr">
        <is>
          <t>1974</t>
        </is>
      </c>
      <c r="P260" t="inlineStr">
        <is>
          <t>[1st U.S. ed.]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BL </t>
        </is>
      </c>
      <c r="U260" t="n">
        <v>1</v>
      </c>
      <c r="V260" t="n">
        <v>1</v>
      </c>
      <c r="W260" t="inlineStr">
        <is>
          <t>1993-10-25</t>
        </is>
      </c>
      <c r="X260" t="inlineStr">
        <is>
          <t>1993-10-25</t>
        </is>
      </c>
      <c r="Y260" t="inlineStr">
        <is>
          <t>1990-09-24</t>
        </is>
      </c>
      <c r="Z260" t="inlineStr">
        <is>
          <t>1990-09-24</t>
        </is>
      </c>
      <c r="AA260" t="n">
        <v>370</v>
      </c>
      <c r="AB260" t="n">
        <v>346</v>
      </c>
      <c r="AC260" t="n">
        <v>384</v>
      </c>
      <c r="AD260" t="n">
        <v>1</v>
      </c>
      <c r="AE260" t="n">
        <v>1</v>
      </c>
      <c r="AF260" t="n">
        <v>22</v>
      </c>
      <c r="AG260" t="n">
        <v>24</v>
      </c>
      <c r="AH260" t="n">
        <v>10</v>
      </c>
      <c r="AI260" t="n">
        <v>10</v>
      </c>
      <c r="AJ260" t="n">
        <v>5</v>
      </c>
      <c r="AK260" t="n">
        <v>6</v>
      </c>
      <c r="AL260" t="n">
        <v>15</v>
      </c>
      <c r="AM260" t="n">
        <v>17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HYPERLINK("http://catalog.hathitrust.org/Record/101870662","HathiTrust Record")</f>
        <v/>
      </c>
      <c r="AU260">
        <f>HYPERLINK("https://creighton-primo.hosted.exlibrisgroup.com/primo-explore/search?tab=default_tab&amp;search_scope=EVERYTHING&amp;vid=01CRU&amp;lang=en_US&amp;offset=0&amp;query=any,contains,991003171439702656","Catalog Record")</f>
        <v/>
      </c>
      <c r="AV260">
        <f>HYPERLINK("http://www.worldcat.org/oclc/707230","WorldCat Record")</f>
        <v/>
      </c>
      <c r="AW260" t="inlineStr">
        <is>
          <t>1636812:eng</t>
        </is>
      </c>
      <c r="AX260" t="inlineStr">
        <is>
          <t>707230</t>
        </is>
      </c>
      <c r="AY260" t="inlineStr">
        <is>
          <t>991003171439702656</t>
        </is>
      </c>
      <c r="AZ260" t="inlineStr">
        <is>
          <t>991003171439702656</t>
        </is>
      </c>
      <c r="BA260" t="inlineStr">
        <is>
          <t>2269136760002656</t>
        </is>
      </c>
      <c r="BB260" t="inlineStr">
        <is>
          <t>BOOK</t>
        </is>
      </c>
      <c r="BD260" t="inlineStr">
        <is>
          <t>9780060617011</t>
        </is>
      </c>
      <c r="BE260" t="inlineStr">
        <is>
          <t>32285000308733</t>
        </is>
      </c>
      <c r="BF260" t="inlineStr">
        <is>
          <t>893698717</t>
        </is>
      </c>
    </row>
    <row r="261">
      <c r="A261" t="inlineStr">
        <is>
          <t>No</t>
        </is>
      </c>
      <c r="B261" t="inlineStr">
        <is>
          <t>CURAL</t>
        </is>
      </c>
      <c r="C261" t="inlineStr">
        <is>
          <t>SHELVES</t>
        </is>
      </c>
      <c r="D261" t="inlineStr">
        <is>
          <t>BL48 .D78</t>
        </is>
      </c>
      <c r="E261" t="inlineStr">
        <is>
          <t>0                      BL 0048000D  78</t>
        </is>
      </c>
      <c r="F261" t="inlineStr">
        <is>
          <t>A philosophical scrutiny of religion.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Ducasse, Curt John, 1881-1969.</t>
        </is>
      </c>
      <c r="N261" t="inlineStr">
        <is>
          <t>New York, Ronald Press Co. [1953]</t>
        </is>
      </c>
      <c r="O261" t="inlineStr">
        <is>
          <t>1953</t>
        </is>
      </c>
      <c r="Q261" t="inlineStr">
        <is>
          <t>eng</t>
        </is>
      </c>
      <c r="R261" t="inlineStr">
        <is>
          <t>___</t>
        </is>
      </c>
      <c r="T261" t="inlineStr">
        <is>
          <t xml:space="preserve">BL </t>
        </is>
      </c>
      <c r="U261" t="n">
        <v>4</v>
      </c>
      <c r="V261" t="n">
        <v>4</v>
      </c>
      <c r="W261" t="inlineStr">
        <is>
          <t>1995-11-29</t>
        </is>
      </c>
      <c r="X261" t="inlineStr">
        <is>
          <t>1995-11-29</t>
        </is>
      </c>
      <c r="Y261" t="inlineStr">
        <is>
          <t>1990-09-24</t>
        </is>
      </c>
      <c r="Z261" t="inlineStr">
        <is>
          <t>1990-09-24</t>
        </is>
      </c>
      <c r="AA261" t="n">
        <v>572</v>
      </c>
      <c r="AB261" t="n">
        <v>512</v>
      </c>
      <c r="AC261" t="n">
        <v>518</v>
      </c>
      <c r="AD261" t="n">
        <v>3</v>
      </c>
      <c r="AE261" t="n">
        <v>3</v>
      </c>
      <c r="AF261" t="n">
        <v>26</v>
      </c>
      <c r="AG261" t="n">
        <v>26</v>
      </c>
      <c r="AH261" t="n">
        <v>12</v>
      </c>
      <c r="AI261" t="n">
        <v>12</v>
      </c>
      <c r="AJ261" t="n">
        <v>6</v>
      </c>
      <c r="AK261" t="n">
        <v>6</v>
      </c>
      <c r="AL261" t="n">
        <v>11</v>
      </c>
      <c r="AM261" t="n">
        <v>11</v>
      </c>
      <c r="AN261" t="n">
        <v>2</v>
      </c>
      <c r="AO261" t="n">
        <v>2</v>
      </c>
      <c r="AP261" t="n">
        <v>0</v>
      </c>
      <c r="AQ261" t="n">
        <v>0</v>
      </c>
      <c r="AR261" t="inlineStr">
        <is>
          <t>Yes</t>
        </is>
      </c>
      <c r="AS261" t="inlineStr">
        <is>
          <t>No</t>
        </is>
      </c>
      <c r="AT261">
        <f>HYPERLINK("http://catalog.hathitrust.org/Record/001391108","HathiTrust Record")</f>
        <v/>
      </c>
      <c r="AU261">
        <f>HYPERLINK("https://creighton-primo.hosted.exlibrisgroup.com/primo-explore/search?tab=default_tab&amp;search_scope=EVERYTHING&amp;vid=01CRU&amp;lang=en_US&amp;offset=0&amp;query=any,contains,991002612819702656","Catalog Record")</f>
        <v/>
      </c>
      <c r="AV261">
        <f>HYPERLINK("http://www.worldcat.org/oclc/378521","WorldCat Record")</f>
        <v/>
      </c>
      <c r="AW261" t="inlineStr">
        <is>
          <t>366893291:eng</t>
        </is>
      </c>
      <c r="AX261" t="inlineStr">
        <is>
          <t>378521</t>
        </is>
      </c>
      <c r="AY261" t="inlineStr">
        <is>
          <t>991002612819702656</t>
        </is>
      </c>
      <c r="AZ261" t="inlineStr">
        <is>
          <t>991002612819702656</t>
        </is>
      </c>
      <c r="BA261" t="inlineStr">
        <is>
          <t>2264603310002656</t>
        </is>
      </c>
      <c r="BB261" t="inlineStr">
        <is>
          <t>BOOK</t>
        </is>
      </c>
      <c r="BE261" t="inlineStr">
        <is>
          <t>32285000308774</t>
        </is>
      </c>
      <c r="BF261" t="inlineStr">
        <is>
          <t>893239277</t>
        </is>
      </c>
    </row>
    <row r="262">
      <c r="A262" t="inlineStr">
        <is>
          <t>No</t>
        </is>
      </c>
      <c r="B262" t="inlineStr">
        <is>
          <t>CURAL</t>
        </is>
      </c>
      <c r="C262" t="inlineStr">
        <is>
          <t>SHELVES</t>
        </is>
      </c>
      <c r="D262" t="inlineStr">
        <is>
          <t>BL48 .D8</t>
        </is>
      </c>
      <c r="E262" t="inlineStr">
        <is>
          <t>0                      BL 0048000D  8</t>
        </is>
      </c>
      <c r="F262" t="inlineStr">
        <is>
          <t>Religion, its functions in human life; a study of religion from the point of view of psychology by Knight Dunlap.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Dunlap, Knight, 1875-1949.</t>
        </is>
      </c>
      <c r="N262" t="inlineStr">
        <is>
          <t>New York, London, McGraw Hill, 1946.</t>
        </is>
      </c>
      <c r="O262" t="inlineStr">
        <is>
          <t>1946</t>
        </is>
      </c>
      <c r="P262" t="inlineStr">
        <is>
          <t>1st ed.</t>
        </is>
      </c>
      <c r="Q262" t="inlineStr">
        <is>
          <t>eng</t>
        </is>
      </c>
      <c r="R262" t="inlineStr">
        <is>
          <t>___</t>
        </is>
      </c>
      <c r="S262" t="inlineStr">
        <is>
          <t>McGraw-Hill publications in psychology</t>
        </is>
      </c>
      <c r="T262" t="inlineStr">
        <is>
          <t xml:space="preserve">BL </t>
        </is>
      </c>
      <c r="U262" t="n">
        <v>4</v>
      </c>
      <c r="V262" t="n">
        <v>4</v>
      </c>
      <c r="W262" t="inlineStr">
        <is>
          <t>1993-09-10</t>
        </is>
      </c>
      <c r="X262" t="inlineStr">
        <is>
          <t>1993-09-10</t>
        </is>
      </c>
      <c r="Y262" t="inlineStr">
        <is>
          <t>1990-09-24</t>
        </is>
      </c>
      <c r="Z262" t="inlineStr">
        <is>
          <t>1990-09-24</t>
        </is>
      </c>
      <c r="AA262" t="n">
        <v>414</v>
      </c>
      <c r="AB262" t="n">
        <v>362</v>
      </c>
      <c r="AC262" t="n">
        <v>547</v>
      </c>
      <c r="AD262" t="n">
        <v>4</v>
      </c>
      <c r="AE262" t="n">
        <v>5</v>
      </c>
      <c r="AF262" t="n">
        <v>13</v>
      </c>
      <c r="AG262" t="n">
        <v>24</v>
      </c>
      <c r="AH262" t="n">
        <v>4</v>
      </c>
      <c r="AI262" t="n">
        <v>8</v>
      </c>
      <c r="AJ262" t="n">
        <v>1</v>
      </c>
      <c r="AK262" t="n">
        <v>3</v>
      </c>
      <c r="AL262" t="n">
        <v>6</v>
      </c>
      <c r="AM262" t="n">
        <v>11</v>
      </c>
      <c r="AN262" t="n">
        <v>3</v>
      </c>
      <c r="AO262" t="n">
        <v>4</v>
      </c>
      <c r="AP262" t="n">
        <v>0</v>
      </c>
      <c r="AQ262" t="n">
        <v>0</v>
      </c>
      <c r="AR262" t="inlineStr">
        <is>
          <t>Yes</t>
        </is>
      </c>
      <c r="AS262" t="inlineStr">
        <is>
          <t>No</t>
        </is>
      </c>
      <c r="AT262">
        <f>HYPERLINK("http://catalog.hathitrust.org/Record/001391109","HathiTrust Record")</f>
        <v/>
      </c>
      <c r="AU262">
        <f>HYPERLINK("https://creighton-primo.hosted.exlibrisgroup.com/primo-explore/search?tab=default_tab&amp;search_scope=EVERYTHING&amp;vid=01CRU&amp;lang=en_US&amp;offset=0&amp;query=any,contains,991003573649702656","Catalog Record")</f>
        <v/>
      </c>
      <c r="AV262">
        <f>HYPERLINK("http://www.worldcat.org/oclc/1149663","WorldCat Record")</f>
        <v/>
      </c>
      <c r="AW262" t="inlineStr">
        <is>
          <t>1235640:eng</t>
        </is>
      </c>
      <c r="AX262" t="inlineStr">
        <is>
          <t>1149663</t>
        </is>
      </c>
      <c r="AY262" t="inlineStr">
        <is>
          <t>991003573649702656</t>
        </is>
      </c>
      <c r="AZ262" t="inlineStr">
        <is>
          <t>991003573649702656</t>
        </is>
      </c>
      <c r="BA262" t="inlineStr">
        <is>
          <t>2261770440002656</t>
        </is>
      </c>
      <c r="BB262" t="inlineStr">
        <is>
          <t>BOOK</t>
        </is>
      </c>
      <c r="BE262" t="inlineStr">
        <is>
          <t>32285000308782</t>
        </is>
      </c>
      <c r="BF262" t="inlineStr">
        <is>
          <t>893623636</t>
        </is>
      </c>
    </row>
    <row r="263">
      <c r="A263" t="inlineStr">
        <is>
          <t>No</t>
        </is>
      </c>
      <c r="B263" t="inlineStr">
        <is>
          <t>CURAL</t>
        </is>
      </c>
      <c r="C263" t="inlineStr">
        <is>
          <t>SHELVES</t>
        </is>
      </c>
      <c r="D263" t="inlineStr">
        <is>
          <t>BL48 .D84</t>
        </is>
      </c>
      <c r="E263" t="inlineStr">
        <is>
          <t>0                      BL 0048000D  84</t>
        </is>
      </c>
      <c r="F263" t="inlineStr">
        <is>
          <t>The other dimension; a search for the meaning of religious attitudes [by] Louis Dupré.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Dupré, Louis K., 1925-</t>
        </is>
      </c>
      <c r="N263" t="inlineStr">
        <is>
          <t>Garden City, N.Y., Doubleday, 1972.</t>
        </is>
      </c>
      <c r="O263" t="inlineStr">
        <is>
          <t>1972</t>
        </is>
      </c>
      <c r="P263" t="inlineStr">
        <is>
          <t>[1st ed.]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BL </t>
        </is>
      </c>
      <c r="U263" t="n">
        <v>6</v>
      </c>
      <c r="V263" t="n">
        <v>6</v>
      </c>
      <c r="W263" t="inlineStr">
        <is>
          <t>2007-09-06</t>
        </is>
      </c>
      <c r="X263" t="inlineStr">
        <is>
          <t>2007-09-06</t>
        </is>
      </c>
      <c r="Y263" t="inlineStr">
        <is>
          <t>1990-09-24</t>
        </is>
      </c>
      <c r="Z263" t="inlineStr">
        <is>
          <t>1990-09-24</t>
        </is>
      </c>
      <c r="AA263" t="n">
        <v>519</v>
      </c>
      <c r="AB263" t="n">
        <v>446</v>
      </c>
      <c r="AC263" t="n">
        <v>507</v>
      </c>
      <c r="AD263" t="n">
        <v>6</v>
      </c>
      <c r="AE263" t="n">
        <v>7</v>
      </c>
      <c r="AF263" t="n">
        <v>34</v>
      </c>
      <c r="AG263" t="n">
        <v>36</v>
      </c>
      <c r="AH263" t="n">
        <v>11</v>
      </c>
      <c r="AI263" t="n">
        <v>12</v>
      </c>
      <c r="AJ263" t="n">
        <v>9</v>
      </c>
      <c r="AK263" t="n">
        <v>9</v>
      </c>
      <c r="AL263" t="n">
        <v>21</v>
      </c>
      <c r="AM263" t="n">
        <v>22</v>
      </c>
      <c r="AN263" t="n">
        <v>3</v>
      </c>
      <c r="AO263" t="n">
        <v>4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HYPERLINK("http://catalog.hathitrust.org/Record/001391110","HathiTrust Record")</f>
        <v/>
      </c>
      <c r="AU263">
        <f>HYPERLINK("https://creighton-primo.hosted.exlibrisgroup.com/primo-explore/search?tab=default_tab&amp;search_scope=EVERYTHING&amp;vid=01CRU&amp;lang=en_US&amp;offset=0&amp;query=any,contains,991001950639702656","Catalog Record")</f>
        <v/>
      </c>
      <c r="AV263">
        <f>HYPERLINK("http://www.worldcat.org/oclc/252061","WorldCat Record")</f>
        <v/>
      </c>
      <c r="AW263" t="inlineStr">
        <is>
          <t>2452539175:eng</t>
        </is>
      </c>
      <c r="AX263" t="inlineStr">
        <is>
          <t>252061</t>
        </is>
      </c>
      <c r="AY263" t="inlineStr">
        <is>
          <t>991001950639702656</t>
        </is>
      </c>
      <c r="AZ263" t="inlineStr">
        <is>
          <t>991001950639702656</t>
        </is>
      </c>
      <c r="BA263" t="inlineStr">
        <is>
          <t>2270183530002656</t>
        </is>
      </c>
      <c r="BB263" t="inlineStr">
        <is>
          <t>BOOK</t>
        </is>
      </c>
      <c r="BE263" t="inlineStr">
        <is>
          <t>32285000308790</t>
        </is>
      </c>
      <c r="BF263" t="inlineStr">
        <is>
          <t>893427036</t>
        </is>
      </c>
    </row>
    <row r="264">
      <c r="A264" t="inlineStr">
        <is>
          <t>No</t>
        </is>
      </c>
      <c r="B264" t="inlineStr">
        <is>
          <t>CURAL</t>
        </is>
      </c>
      <c r="C264" t="inlineStr">
        <is>
          <t>SHELVES</t>
        </is>
      </c>
      <c r="D264" t="inlineStr">
        <is>
          <t>BL48 .E428 1988</t>
        </is>
      </c>
      <c r="E264" t="inlineStr">
        <is>
          <t>0                      BL 0048000E  428         1988</t>
        </is>
      </c>
      <c r="F264" t="inlineStr">
        <is>
          <t>The history and future of faith : religion past, present, and to come / Robert Ellwood.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Ellwood, Robert S., 1933-</t>
        </is>
      </c>
      <c r="N264" t="inlineStr">
        <is>
          <t>New York : Crossroad, 1988.</t>
        </is>
      </c>
      <c r="O264" t="inlineStr">
        <is>
          <t>1988</t>
        </is>
      </c>
      <c r="Q264" t="inlineStr">
        <is>
          <t>eng</t>
        </is>
      </c>
      <c r="R264" t="inlineStr">
        <is>
          <t>nyu</t>
        </is>
      </c>
      <c r="T264" t="inlineStr">
        <is>
          <t xml:space="preserve">BL </t>
        </is>
      </c>
      <c r="U264" t="n">
        <v>4</v>
      </c>
      <c r="V264" t="n">
        <v>4</v>
      </c>
      <c r="W264" t="inlineStr">
        <is>
          <t>2002-03-04</t>
        </is>
      </c>
      <c r="X264" t="inlineStr">
        <is>
          <t>2002-03-04</t>
        </is>
      </c>
      <c r="Y264" t="inlineStr">
        <is>
          <t>1989-12-18</t>
        </is>
      </c>
      <c r="Z264" t="inlineStr">
        <is>
          <t>1989-12-18</t>
        </is>
      </c>
      <c r="AA264" t="n">
        <v>293</v>
      </c>
      <c r="AB264" t="n">
        <v>244</v>
      </c>
      <c r="AC264" t="n">
        <v>247</v>
      </c>
      <c r="AD264" t="n">
        <v>2</v>
      </c>
      <c r="AE264" t="n">
        <v>2</v>
      </c>
      <c r="AF264" t="n">
        <v>10</v>
      </c>
      <c r="AG264" t="n">
        <v>10</v>
      </c>
      <c r="AH264" t="n">
        <v>0</v>
      </c>
      <c r="AI264" t="n">
        <v>0</v>
      </c>
      <c r="AJ264" t="n">
        <v>5</v>
      </c>
      <c r="AK264" t="n">
        <v>5</v>
      </c>
      <c r="AL264" t="n">
        <v>6</v>
      </c>
      <c r="AM264" t="n">
        <v>6</v>
      </c>
      <c r="AN264" t="n">
        <v>1</v>
      </c>
      <c r="AO264" t="n">
        <v>1</v>
      </c>
      <c r="AP264" t="n">
        <v>0</v>
      </c>
      <c r="AQ264" t="n">
        <v>0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HYPERLINK("https://creighton-primo.hosted.exlibrisgroup.com/primo-explore/search?tab=default_tab&amp;search_scope=EVERYTHING&amp;vid=01CRU&amp;lang=en_US&amp;offset=0&amp;query=any,contains,991001240539702656","Catalog Record")</f>
        <v/>
      </c>
      <c r="AV264">
        <f>HYPERLINK("http://www.worldcat.org/oclc/17618848","WorldCat Record")</f>
        <v/>
      </c>
      <c r="AW264" t="inlineStr">
        <is>
          <t>15702141:eng</t>
        </is>
      </c>
      <c r="AX264" t="inlineStr">
        <is>
          <t>17618848</t>
        </is>
      </c>
      <c r="AY264" t="inlineStr">
        <is>
          <t>991001240539702656</t>
        </is>
      </c>
      <c r="AZ264" t="inlineStr">
        <is>
          <t>991001240539702656</t>
        </is>
      </c>
      <c r="BA264" t="inlineStr">
        <is>
          <t>2258500800002656</t>
        </is>
      </c>
      <c r="BB264" t="inlineStr">
        <is>
          <t>BOOK</t>
        </is>
      </c>
      <c r="BD264" t="inlineStr">
        <is>
          <t>9780824508791</t>
        </is>
      </c>
      <c r="BE264" t="inlineStr">
        <is>
          <t>32285000018787</t>
        </is>
      </c>
      <c r="BF264" t="inlineStr">
        <is>
          <t>893340274</t>
        </is>
      </c>
    </row>
    <row r="265">
      <c r="A265" t="inlineStr">
        <is>
          <t>No</t>
        </is>
      </c>
      <c r="B265" t="inlineStr">
        <is>
          <t>CURAL</t>
        </is>
      </c>
      <c r="C265" t="inlineStr">
        <is>
          <t>SHELVES</t>
        </is>
      </c>
      <c r="D265" t="inlineStr">
        <is>
          <t>BL48 .F75 1972</t>
        </is>
      </c>
      <c r="E265" t="inlineStr">
        <is>
          <t>0                      BL 0048000F  75          1972</t>
        </is>
      </c>
      <c r="F265" t="inlineStr">
        <is>
          <t>Touchstones of reality; existential trust and the community of peace [by] Maurice Friedman.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M265" t="inlineStr">
        <is>
          <t>Friedman, Maurice S.</t>
        </is>
      </c>
      <c r="N265" t="inlineStr">
        <is>
          <t>New York, Dutton, 1972.</t>
        </is>
      </c>
      <c r="O265" t="inlineStr">
        <is>
          <t>1972</t>
        </is>
      </c>
      <c r="P265" t="inlineStr">
        <is>
          <t>[1st ed.]</t>
        </is>
      </c>
      <c r="Q265" t="inlineStr">
        <is>
          <t>eng</t>
        </is>
      </c>
      <c r="R265" t="inlineStr">
        <is>
          <t>nyu</t>
        </is>
      </c>
      <c r="T265" t="inlineStr">
        <is>
          <t xml:space="preserve">BL </t>
        </is>
      </c>
      <c r="U265" t="n">
        <v>2</v>
      </c>
      <c r="V265" t="n">
        <v>2</v>
      </c>
      <c r="W265" t="inlineStr">
        <is>
          <t>1993-04-03</t>
        </is>
      </c>
      <c r="X265" t="inlineStr">
        <is>
          <t>1993-04-03</t>
        </is>
      </c>
      <c r="Y265" t="inlineStr">
        <is>
          <t>1990-09-24</t>
        </is>
      </c>
      <c r="Z265" t="inlineStr">
        <is>
          <t>1990-09-24</t>
        </is>
      </c>
      <c r="AA265" t="n">
        <v>310</v>
      </c>
      <c r="AB265" t="n">
        <v>275</v>
      </c>
      <c r="AC265" t="n">
        <v>323</v>
      </c>
      <c r="AD265" t="n">
        <v>2</v>
      </c>
      <c r="AE265" t="n">
        <v>3</v>
      </c>
      <c r="AF265" t="n">
        <v>12</v>
      </c>
      <c r="AG265" t="n">
        <v>15</v>
      </c>
      <c r="AH265" t="n">
        <v>3</v>
      </c>
      <c r="AI265" t="n">
        <v>3</v>
      </c>
      <c r="AJ265" t="n">
        <v>3</v>
      </c>
      <c r="AK265" t="n">
        <v>4</v>
      </c>
      <c r="AL265" t="n">
        <v>7</v>
      </c>
      <c r="AM265" t="n">
        <v>9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HYPERLINK("http://catalog.hathitrust.org/Record/001391114","HathiTrust Record")</f>
        <v/>
      </c>
      <c r="AU265">
        <f>HYPERLINK("https://creighton-primo.hosted.exlibrisgroup.com/primo-explore/search?tab=default_tab&amp;search_scope=EVERYTHING&amp;vid=01CRU&amp;lang=en_US&amp;offset=0&amp;query=any,contains,991001906559702656","Catalog Record")</f>
        <v/>
      </c>
      <c r="AV265">
        <f>HYPERLINK("http://www.worldcat.org/oclc/240712","WorldCat Record")</f>
        <v/>
      </c>
      <c r="AW265" t="inlineStr">
        <is>
          <t>1383913:eng</t>
        </is>
      </c>
      <c r="AX265" t="inlineStr">
        <is>
          <t>240712</t>
        </is>
      </c>
      <c r="AY265" t="inlineStr">
        <is>
          <t>991001906559702656</t>
        </is>
      </c>
      <c r="AZ265" t="inlineStr">
        <is>
          <t>991001906559702656</t>
        </is>
      </c>
      <c r="BA265" t="inlineStr">
        <is>
          <t>2272236610002656</t>
        </is>
      </c>
      <c r="BB265" t="inlineStr">
        <is>
          <t>BOOK</t>
        </is>
      </c>
      <c r="BD265" t="inlineStr">
        <is>
          <t>9780525221609</t>
        </is>
      </c>
      <c r="BE265" t="inlineStr">
        <is>
          <t>32285000308840</t>
        </is>
      </c>
      <c r="BF265" t="inlineStr">
        <is>
          <t>893872876</t>
        </is>
      </c>
    </row>
    <row r="266">
      <c r="A266" t="inlineStr">
        <is>
          <t>No</t>
        </is>
      </c>
      <c r="B266" t="inlineStr">
        <is>
          <t>CURAL</t>
        </is>
      </c>
      <c r="C266" t="inlineStr">
        <is>
          <t>SHELVES</t>
        </is>
      </c>
      <c r="D266" t="inlineStr">
        <is>
          <t>BL48 .G635 1988</t>
        </is>
      </c>
      <c r="E266" t="inlineStr">
        <is>
          <t>0                      BL 0048000G  635         1988</t>
        </is>
      </c>
      <c r="F266" t="inlineStr">
        <is>
          <t>Ecstasy, ritual and alternate reality : religion in a pluralistic world / Felicitas D. Goodman.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Goodman, Felicitas D.</t>
        </is>
      </c>
      <c r="N266" t="inlineStr">
        <is>
          <t>Bloomington : Indiana University Press, c1988.</t>
        </is>
      </c>
      <c r="O266" t="inlineStr">
        <is>
          <t>1988</t>
        </is>
      </c>
      <c r="Q266" t="inlineStr">
        <is>
          <t>eng</t>
        </is>
      </c>
      <c r="R266" t="inlineStr">
        <is>
          <t>inu</t>
        </is>
      </c>
      <c r="T266" t="inlineStr">
        <is>
          <t xml:space="preserve">BL </t>
        </is>
      </c>
      <c r="U266" t="n">
        <v>3</v>
      </c>
      <c r="V266" t="n">
        <v>3</v>
      </c>
      <c r="W266" t="inlineStr">
        <is>
          <t>2001-03-12</t>
        </is>
      </c>
      <c r="X266" t="inlineStr">
        <is>
          <t>2001-03-12</t>
        </is>
      </c>
      <c r="Y266" t="inlineStr">
        <is>
          <t>1990-04-11</t>
        </is>
      </c>
      <c r="Z266" t="inlineStr">
        <is>
          <t>1990-04-11</t>
        </is>
      </c>
      <c r="AA266" t="n">
        <v>491</v>
      </c>
      <c r="AB266" t="n">
        <v>389</v>
      </c>
      <c r="AC266" t="n">
        <v>671</v>
      </c>
      <c r="AD266" t="n">
        <v>3</v>
      </c>
      <c r="AE266" t="n">
        <v>5</v>
      </c>
      <c r="AF266" t="n">
        <v>16</v>
      </c>
      <c r="AG266" t="n">
        <v>28</v>
      </c>
      <c r="AH266" t="n">
        <v>5</v>
      </c>
      <c r="AI266" t="n">
        <v>12</v>
      </c>
      <c r="AJ266" t="n">
        <v>7</v>
      </c>
      <c r="AK266" t="n">
        <v>8</v>
      </c>
      <c r="AL266" t="n">
        <v>8</v>
      </c>
      <c r="AM266" t="n">
        <v>13</v>
      </c>
      <c r="AN266" t="n">
        <v>2</v>
      </c>
      <c r="AO266" t="n">
        <v>3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HYPERLINK("http://catalog.hathitrust.org/Record/001077552","HathiTrust Record")</f>
        <v/>
      </c>
      <c r="AU266">
        <f>HYPERLINK("https://creighton-primo.hosted.exlibrisgroup.com/primo-explore/search?tab=default_tab&amp;search_scope=EVERYTHING&amp;vid=01CRU&amp;lang=en_US&amp;offset=0&amp;query=any,contains,991001222289702656","Catalog Record")</f>
        <v/>
      </c>
      <c r="AV266">
        <f>HYPERLINK("http://www.worldcat.org/oclc/17479928","WorldCat Record")</f>
        <v/>
      </c>
      <c r="AW266" t="inlineStr">
        <is>
          <t>889755736:eng</t>
        </is>
      </c>
      <c r="AX266" t="inlineStr">
        <is>
          <t>17479928</t>
        </is>
      </c>
      <c r="AY266" t="inlineStr">
        <is>
          <t>991001222289702656</t>
        </is>
      </c>
      <c r="AZ266" t="inlineStr">
        <is>
          <t>991001222289702656</t>
        </is>
      </c>
      <c r="BA266" t="inlineStr">
        <is>
          <t>2270928640002656</t>
        </is>
      </c>
      <c r="BB266" t="inlineStr">
        <is>
          <t>BOOK</t>
        </is>
      </c>
      <c r="BD266" t="inlineStr">
        <is>
          <t>9780253318992</t>
        </is>
      </c>
      <c r="BE266" t="inlineStr">
        <is>
          <t>32285000094812</t>
        </is>
      </c>
      <c r="BF266" t="inlineStr">
        <is>
          <t>893872384</t>
        </is>
      </c>
    </row>
    <row r="267">
      <c r="A267" t="inlineStr">
        <is>
          <t>No</t>
        </is>
      </c>
      <c r="B267" t="inlineStr">
        <is>
          <t>CURAL</t>
        </is>
      </c>
      <c r="C267" t="inlineStr">
        <is>
          <t>SHELVES</t>
        </is>
      </c>
      <c r="D267" t="inlineStr">
        <is>
          <t>BL48 .I56 1978</t>
        </is>
      </c>
      <c r="E267" t="inlineStr">
        <is>
          <t>0                      BL 0048000I  56          1978</t>
        </is>
      </c>
      <c r="F267" t="inlineStr">
        <is>
          <t>Introduction to the study of religion / T. William Hall, general editor, with Ronald R. Cavanagh ; contributors, Alan L. Berger ... [et al.]. --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Harper &amp; Row, c1978.</t>
        </is>
      </c>
      <c r="O267" t="inlineStr">
        <is>
          <t>1978</t>
        </is>
      </c>
      <c r="P267" t="inlineStr">
        <is>
          <t>1st ed.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BL </t>
        </is>
      </c>
      <c r="U267" t="n">
        <v>1</v>
      </c>
      <c r="V267" t="n">
        <v>1</v>
      </c>
      <c r="W267" t="inlineStr">
        <is>
          <t>2001-12-01</t>
        </is>
      </c>
      <c r="X267" t="inlineStr">
        <is>
          <t>2001-12-01</t>
        </is>
      </c>
      <c r="Y267" t="inlineStr">
        <is>
          <t>1990-09-24</t>
        </is>
      </c>
      <c r="Z267" t="inlineStr">
        <is>
          <t>1990-09-24</t>
        </is>
      </c>
      <c r="AA267" t="n">
        <v>303</v>
      </c>
      <c r="AB267" t="n">
        <v>246</v>
      </c>
      <c r="AC267" t="n">
        <v>252</v>
      </c>
      <c r="AD267" t="n">
        <v>2</v>
      </c>
      <c r="AE267" t="n">
        <v>2</v>
      </c>
      <c r="AF267" t="n">
        <v>15</v>
      </c>
      <c r="AG267" t="n">
        <v>15</v>
      </c>
      <c r="AH267" t="n">
        <v>4</v>
      </c>
      <c r="AI267" t="n">
        <v>4</v>
      </c>
      <c r="AJ267" t="n">
        <v>2</v>
      </c>
      <c r="AK267" t="n">
        <v>2</v>
      </c>
      <c r="AL267" t="n">
        <v>10</v>
      </c>
      <c r="AM267" t="n">
        <v>10</v>
      </c>
      <c r="AN267" t="n">
        <v>1</v>
      </c>
      <c r="AO267" t="n">
        <v>1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HYPERLINK("http://catalog.hathitrust.org/Record/007115189","HathiTrust Record")</f>
        <v/>
      </c>
      <c r="AU267">
        <f>HYPERLINK("https://creighton-primo.hosted.exlibrisgroup.com/primo-explore/search?tab=default_tab&amp;search_scope=EVERYTHING&amp;vid=01CRU&amp;lang=en_US&amp;offset=0&amp;query=any,contains,991004541239702656","Catalog Record")</f>
        <v/>
      </c>
      <c r="AV267">
        <f>HYPERLINK("http://www.worldcat.org/oclc/3893838","WorldCat Record")</f>
        <v/>
      </c>
      <c r="AW267" t="inlineStr">
        <is>
          <t>355482770:eng</t>
        </is>
      </c>
      <c r="AX267" t="inlineStr">
        <is>
          <t>3893838</t>
        </is>
      </c>
      <c r="AY267" t="inlineStr">
        <is>
          <t>991004541239702656</t>
        </is>
      </c>
      <c r="AZ267" t="inlineStr">
        <is>
          <t>991004541239702656</t>
        </is>
      </c>
      <c r="BA267" t="inlineStr">
        <is>
          <t>2271906460002656</t>
        </is>
      </c>
      <c r="BB267" t="inlineStr">
        <is>
          <t>BOOK</t>
        </is>
      </c>
      <c r="BD267" t="inlineStr">
        <is>
          <t>9780060635725</t>
        </is>
      </c>
      <c r="BE267" t="inlineStr">
        <is>
          <t>32285000308873</t>
        </is>
      </c>
      <c r="BF267" t="inlineStr">
        <is>
          <t>893712744</t>
        </is>
      </c>
    </row>
    <row r="268">
      <c r="A268" t="inlineStr">
        <is>
          <t>No</t>
        </is>
      </c>
      <c r="B268" t="inlineStr">
        <is>
          <t>CURAL</t>
        </is>
      </c>
      <c r="C268" t="inlineStr">
        <is>
          <t>SHELVES</t>
        </is>
      </c>
      <c r="D268" t="inlineStr">
        <is>
          <t>BL48 .I8 1970</t>
        </is>
      </c>
      <c r="E268" t="inlineStr">
        <is>
          <t>0                      BL 0048000I  8           1970</t>
        </is>
      </c>
      <c r="F268" t="inlineStr">
        <is>
          <t>The root of the matter; a study in the connections between religion, psychology, and education. With a foreword by Gerald Heard.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Isherwood, Margaret.</t>
        </is>
      </c>
      <c r="N268" t="inlineStr">
        <is>
          <t>Westport, Conn., Greenwood Press [1970, c1954]</t>
        </is>
      </c>
      <c r="O268" t="inlineStr">
        <is>
          <t>1970</t>
        </is>
      </c>
      <c r="Q268" t="inlineStr">
        <is>
          <t>eng</t>
        </is>
      </c>
      <c r="R268" t="inlineStr">
        <is>
          <t>ctu</t>
        </is>
      </c>
      <c r="T268" t="inlineStr">
        <is>
          <t xml:space="preserve">BL </t>
        </is>
      </c>
      <c r="U268" t="n">
        <v>1</v>
      </c>
      <c r="V268" t="n">
        <v>1</v>
      </c>
      <c r="W268" t="inlineStr">
        <is>
          <t>1993-10-25</t>
        </is>
      </c>
      <c r="X268" t="inlineStr">
        <is>
          <t>1993-10-25</t>
        </is>
      </c>
      <c r="Y268" t="inlineStr">
        <is>
          <t>1990-09-24</t>
        </is>
      </c>
      <c r="Z268" t="inlineStr">
        <is>
          <t>1990-09-24</t>
        </is>
      </c>
      <c r="AA268" t="n">
        <v>177</v>
      </c>
      <c r="AB268" t="n">
        <v>158</v>
      </c>
      <c r="AC268" t="n">
        <v>297</v>
      </c>
      <c r="AD268" t="n">
        <v>2</v>
      </c>
      <c r="AE268" t="n">
        <v>3</v>
      </c>
      <c r="AF268" t="n">
        <v>10</v>
      </c>
      <c r="AG268" t="n">
        <v>15</v>
      </c>
      <c r="AH268" t="n">
        <v>3</v>
      </c>
      <c r="AI268" t="n">
        <v>5</v>
      </c>
      <c r="AJ268" t="n">
        <v>1</v>
      </c>
      <c r="AK268" t="n">
        <v>2</v>
      </c>
      <c r="AL268" t="n">
        <v>6</v>
      </c>
      <c r="AM268" t="n">
        <v>8</v>
      </c>
      <c r="AN268" t="n">
        <v>1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HYPERLINK("https://creighton-primo.hosted.exlibrisgroup.com/primo-explore/search?tab=default_tab&amp;search_scope=EVERYTHING&amp;vid=01CRU&amp;lang=en_US&amp;offset=0&amp;query=any,contains,991001949569702656","Catalog Record")</f>
        <v/>
      </c>
      <c r="AV268">
        <f>HYPERLINK("http://www.worldcat.org/oclc/251468","WorldCat Record")</f>
        <v/>
      </c>
      <c r="AW268" t="inlineStr">
        <is>
          <t>1339956:eng</t>
        </is>
      </c>
      <c r="AX268" t="inlineStr">
        <is>
          <t>251468</t>
        </is>
      </c>
      <c r="AY268" t="inlineStr">
        <is>
          <t>991001949569702656</t>
        </is>
      </c>
      <c r="AZ268" t="inlineStr">
        <is>
          <t>991001949569702656</t>
        </is>
      </c>
      <c r="BA268" t="inlineStr">
        <is>
          <t>2268731670002656</t>
        </is>
      </c>
      <c r="BB268" t="inlineStr">
        <is>
          <t>BOOK</t>
        </is>
      </c>
      <c r="BD268" t="inlineStr">
        <is>
          <t>9780837139623</t>
        </is>
      </c>
      <c r="BE268" t="inlineStr">
        <is>
          <t>32285000308881</t>
        </is>
      </c>
      <c r="BF268" t="inlineStr">
        <is>
          <t>893703490</t>
        </is>
      </c>
    </row>
    <row r="269">
      <c r="A269" t="inlineStr">
        <is>
          <t>No</t>
        </is>
      </c>
      <c r="B269" t="inlineStr">
        <is>
          <t>CURAL</t>
        </is>
      </c>
      <c r="C269" t="inlineStr">
        <is>
          <t>SHELVES</t>
        </is>
      </c>
      <c r="D269" t="inlineStr">
        <is>
          <t>BL48 .L25 1972</t>
        </is>
      </c>
      <c r="E269" t="inlineStr">
        <is>
          <t>0                      BL 0048000L  25          1972</t>
        </is>
      </c>
      <c r="F269" t="inlineStr">
        <is>
          <t>The ghost dance: origins of religion.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La Barre, Weston, 1911-1996.</t>
        </is>
      </c>
      <c r="N269" t="inlineStr">
        <is>
          <t>[New York, Dell Pub. Co., 1972]</t>
        </is>
      </c>
      <c r="O269" t="inlineStr">
        <is>
          <t>1972</t>
        </is>
      </c>
      <c r="Q269" t="inlineStr">
        <is>
          <t>eng</t>
        </is>
      </c>
      <c r="R269" t="inlineStr">
        <is>
          <t>nyu</t>
        </is>
      </c>
      <c r="S269" t="inlineStr">
        <is>
          <t>A Delta book</t>
        </is>
      </c>
      <c r="T269" t="inlineStr">
        <is>
          <t xml:space="preserve">BL </t>
        </is>
      </c>
      <c r="U269" t="n">
        <v>7</v>
      </c>
      <c r="V269" t="n">
        <v>7</v>
      </c>
      <c r="W269" t="inlineStr">
        <is>
          <t>2003-04-17</t>
        </is>
      </c>
      <c r="X269" t="inlineStr">
        <is>
          <t>2003-04-17</t>
        </is>
      </c>
      <c r="Y269" t="inlineStr">
        <is>
          <t>1990-09-24</t>
        </is>
      </c>
      <c r="Z269" t="inlineStr">
        <is>
          <t>1990-09-24</t>
        </is>
      </c>
      <c r="AA269" t="n">
        <v>290</v>
      </c>
      <c r="AB269" t="n">
        <v>249</v>
      </c>
      <c r="AC269" t="n">
        <v>950</v>
      </c>
      <c r="AD269" t="n">
        <v>3</v>
      </c>
      <c r="AE269" t="n">
        <v>8</v>
      </c>
      <c r="AF269" t="n">
        <v>11</v>
      </c>
      <c r="AG269" t="n">
        <v>43</v>
      </c>
      <c r="AH269" t="n">
        <v>4</v>
      </c>
      <c r="AI269" t="n">
        <v>17</v>
      </c>
      <c r="AJ269" t="n">
        <v>3</v>
      </c>
      <c r="AK269" t="n">
        <v>9</v>
      </c>
      <c r="AL269" t="n">
        <v>4</v>
      </c>
      <c r="AM269" t="n">
        <v>21</v>
      </c>
      <c r="AN269" t="n">
        <v>2</v>
      </c>
      <c r="AO269" t="n">
        <v>7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HYPERLINK("http://catalog.hathitrust.org/Record/000723217","HathiTrust Record")</f>
        <v/>
      </c>
      <c r="AU269">
        <f>HYPERLINK("https://creighton-primo.hosted.exlibrisgroup.com/primo-explore/search?tab=default_tab&amp;search_scope=EVERYTHING&amp;vid=01CRU&amp;lang=en_US&amp;offset=0&amp;query=any,contains,991003442559702656","Catalog Record")</f>
        <v/>
      </c>
      <c r="AV269">
        <f>HYPERLINK("http://www.worldcat.org/oclc/978906","WorldCat Record")</f>
        <v/>
      </c>
      <c r="AW269" t="inlineStr">
        <is>
          <t>918049916:eng</t>
        </is>
      </c>
      <c r="AX269" t="inlineStr">
        <is>
          <t>978906</t>
        </is>
      </c>
      <c r="AY269" t="inlineStr">
        <is>
          <t>991003442559702656</t>
        </is>
      </c>
      <c r="AZ269" t="inlineStr">
        <is>
          <t>991003442559702656</t>
        </is>
      </c>
      <c r="BA269" t="inlineStr">
        <is>
          <t>2260504740002656</t>
        </is>
      </c>
      <c r="BB269" t="inlineStr">
        <is>
          <t>BOOK</t>
        </is>
      </c>
      <c r="BD269" t="inlineStr">
        <is>
          <t>9780440528425</t>
        </is>
      </c>
      <c r="BE269" t="inlineStr">
        <is>
          <t>32285000308907</t>
        </is>
      </c>
      <c r="BF269" t="inlineStr">
        <is>
          <t>893416376</t>
        </is>
      </c>
    </row>
    <row r="270">
      <c r="A270" t="inlineStr">
        <is>
          <t>No</t>
        </is>
      </c>
      <c r="B270" t="inlineStr">
        <is>
          <t>CURAL</t>
        </is>
      </c>
      <c r="C270" t="inlineStr">
        <is>
          <t>SHELVES</t>
        </is>
      </c>
      <c r="D270" t="inlineStr">
        <is>
          <t>BL48 .L58 1986</t>
        </is>
      </c>
      <c r="E270" t="inlineStr">
        <is>
          <t>0                      BL 0048000L  58          1986</t>
        </is>
      </c>
      <c r="F270" t="inlineStr">
        <is>
          <t>Significations : signs, symbols, and images in the interpretation of religion / Charles H. Long.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Long, Charles H.</t>
        </is>
      </c>
      <c r="N270" t="inlineStr">
        <is>
          <t>Philadelphia : Fortress Press, c1986.</t>
        </is>
      </c>
      <c r="O270" t="inlineStr">
        <is>
          <t>1986</t>
        </is>
      </c>
      <c r="Q270" t="inlineStr">
        <is>
          <t>eng</t>
        </is>
      </c>
      <c r="R270" t="inlineStr">
        <is>
          <t>pau</t>
        </is>
      </c>
      <c r="T270" t="inlineStr">
        <is>
          <t xml:space="preserve">BL </t>
        </is>
      </c>
      <c r="U270" t="n">
        <v>4</v>
      </c>
      <c r="V270" t="n">
        <v>4</v>
      </c>
      <c r="W270" t="inlineStr">
        <is>
          <t>1998-10-05</t>
        </is>
      </c>
      <c r="X270" t="inlineStr">
        <is>
          <t>1998-10-05</t>
        </is>
      </c>
      <c r="Y270" t="inlineStr">
        <is>
          <t>1990-09-24</t>
        </is>
      </c>
      <c r="Z270" t="inlineStr">
        <is>
          <t>1990-09-24</t>
        </is>
      </c>
      <c r="AA270" t="n">
        <v>436</v>
      </c>
      <c r="AB270" t="n">
        <v>377</v>
      </c>
      <c r="AC270" t="n">
        <v>737</v>
      </c>
      <c r="AD270" t="n">
        <v>2</v>
      </c>
      <c r="AE270" t="n">
        <v>5</v>
      </c>
      <c r="AF270" t="n">
        <v>24</v>
      </c>
      <c r="AG270" t="n">
        <v>40</v>
      </c>
      <c r="AH270" t="n">
        <v>10</v>
      </c>
      <c r="AI270" t="n">
        <v>17</v>
      </c>
      <c r="AJ270" t="n">
        <v>4</v>
      </c>
      <c r="AK270" t="n">
        <v>8</v>
      </c>
      <c r="AL270" t="n">
        <v>17</v>
      </c>
      <c r="AM270" t="n">
        <v>20</v>
      </c>
      <c r="AN270" t="n">
        <v>1</v>
      </c>
      <c r="AO270" t="n">
        <v>4</v>
      </c>
      <c r="AP270" t="n">
        <v>0</v>
      </c>
      <c r="AQ270" t="n">
        <v>1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HYPERLINK("http://catalog.hathitrust.org/Record/000812718","HathiTrust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HYPERLINK("https://creighton-primo.hosted.exlibrisgroup.com/primo-explore/search?tab=default_tab&amp;search_scope=EVERYTHING&amp;vid=01CRU&amp;lang=en_US&amp;offset=0&amp;query=any,contains,991000762199702656","Catalog Record")</f>
        <v/>
      </c>
      <c r="AV270">
        <f>HYPERLINK("http://www.worldcat.org/oclc/12974533","WorldCat Record")</f>
        <v/>
      </c>
      <c r="AW270" t="inlineStr">
        <is>
          <t>793898685:eng</t>
        </is>
      </c>
      <c r="AX270" t="inlineStr">
        <is>
          <t>12974533</t>
        </is>
      </c>
      <c r="AY270" t="inlineStr">
        <is>
          <t>991000762199702656</t>
        </is>
      </c>
      <c r="AZ270" t="inlineStr">
        <is>
          <t>991000762199702656</t>
        </is>
      </c>
      <c r="BA270" t="inlineStr">
        <is>
          <t>2262515060002656</t>
        </is>
      </c>
      <c r="BB270" t="inlineStr">
        <is>
          <t>BOOK</t>
        </is>
      </c>
      <c r="BD270" t="inlineStr">
        <is>
          <t>9780800618926</t>
        </is>
      </c>
      <c r="BE270" t="inlineStr">
        <is>
          <t>32285000308915</t>
        </is>
      </c>
      <c r="BF270" t="inlineStr">
        <is>
          <t>893878332</t>
        </is>
      </c>
    </row>
    <row r="271">
      <c r="A271" t="inlineStr">
        <is>
          <t>No</t>
        </is>
      </c>
      <c r="B271" t="inlineStr">
        <is>
          <t>CURAL</t>
        </is>
      </c>
      <c r="C271" t="inlineStr">
        <is>
          <t>SHELVES</t>
        </is>
      </c>
      <c r="D271" t="inlineStr">
        <is>
          <t>BL48 .N68 1978</t>
        </is>
      </c>
      <c r="E271" t="inlineStr">
        <is>
          <t>0                      BL 0048000N  68          1978</t>
        </is>
      </c>
      <c r="F271" t="inlineStr">
        <is>
          <t>Ascent of the mountain, flight of the dove : an invitation to religious studies / by Michael Novak.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M271" t="inlineStr">
        <is>
          <t>Novak, Michael.</t>
        </is>
      </c>
      <c r="N271" t="inlineStr">
        <is>
          <t>San Francisco : Harper &amp; Row, c1978.</t>
        </is>
      </c>
      <c r="O271" t="inlineStr">
        <is>
          <t>1978</t>
        </is>
      </c>
      <c r="P271" t="inlineStr">
        <is>
          <t>Rev. ed.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BL </t>
        </is>
      </c>
      <c r="U271" t="n">
        <v>2</v>
      </c>
      <c r="V271" t="n">
        <v>2</v>
      </c>
      <c r="W271" t="inlineStr">
        <is>
          <t>2004-03-08</t>
        </is>
      </c>
      <c r="X271" t="inlineStr">
        <is>
          <t>2004-03-08</t>
        </is>
      </c>
      <c r="Y271" t="inlineStr">
        <is>
          <t>1990-03-28</t>
        </is>
      </c>
      <c r="Z271" t="inlineStr">
        <is>
          <t>1990-03-28</t>
        </is>
      </c>
      <c r="AA271" t="n">
        <v>219</v>
      </c>
      <c r="AB271" t="n">
        <v>188</v>
      </c>
      <c r="AC271" t="n">
        <v>791</v>
      </c>
      <c r="AD271" t="n">
        <v>2</v>
      </c>
      <c r="AE271" t="n">
        <v>4</v>
      </c>
      <c r="AF271" t="n">
        <v>8</v>
      </c>
      <c r="AG271" t="n">
        <v>38</v>
      </c>
      <c r="AH271" t="n">
        <v>2</v>
      </c>
      <c r="AI271" t="n">
        <v>14</v>
      </c>
      <c r="AJ271" t="n">
        <v>1</v>
      </c>
      <c r="AK271" t="n">
        <v>9</v>
      </c>
      <c r="AL271" t="n">
        <v>5</v>
      </c>
      <c r="AM271" t="n">
        <v>24</v>
      </c>
      <c r="AN271" t="n">
        <v>1</v>
      </c>
      <c r="AO271" t="n">
        <v>2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HYPERLINK("https://creighton-primo.hosted.exlibrisgroup.com/primo-explore/search?tab=default_tab&amp;search_scope=EVERYTHING&amp;vid=01CRU&amp;lang=en_US&amp;offset=0&amp;query=any,contains,991004663789702656","Catalog Record")</f>
        <v/>
      </c>
      <c r="AV271">
        <f>HYPERLINK("http://www.worldcat.org/oclc/4499359","WorldCat Record")</f>
        <v/>
      </c>
      <c r="AW271" t="inlineStr">
        <is>
          <t>1175239:eng</t>
        </is>
      </c>
      <c r="AX271" t="inlineStr">
        <is>
          <t>4499359</t>
        </is>
      </c>
      <c r="AY271" t="inlineStr">
        <is>
          <t>991004663789702656</t>
        </is>
      </c>
      <c r="AZ271" t="inlineStr">
        <is>
          <t>991004663789702656</t>
        </is>
      </c>
      <c r="BA271" t="inlineStr">
        <is>
          <t>2262796090002656</t>
        </is>
      </c>
      <c r="BB271" t="inlineStr">
        <is>
          <t>BOOK</t>
        </is>
      </c>
      <c r="BD271" t="inlineStr">
        <is>
          <t>9780060663223</t>
        </is>
      </c>
      <c r="BE271" t="inlineStr">
        <is>
          <t>32285000105089</t>
        </is>
      </c>
      <c r="BF271" t="inlineStr">
        <is>
          <t>893507099</t>
        </is>
      </c>
    </row>
    <row r="272">
      <c r="A272" t="inlineStr">
        <is>
          <t>No</t>
        </is>
      </c>
      <c r="B272" t="inlineStr">
        <is>
          <t>CURAL</t>
        </is>
      </c>
      <c r="C272" t="inlineStr">
        <is>
          <t>SHELVES</t>
        </is>
      </c>
      <c r="D272" t="inlineStr">
        <is>
          <t>BL48 .R23 1968</t>
        </is>
      </c>
      <c r="E272" t="inlineStr">
        <is>
          <t>0                      BL 0048000R  23          1968</t>
        </is>
      </c>
      <c r="F272" t="inlineStr">
        <is>
          <t>Recovery of faith.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Radhakrishnan, S. (Sarvepalli), 1888-1975.</t>
        </is>
      </c>
      <c r="N272" t="inlineStr">
        <is>
          <t>New York, Greenwood Press, 1968 [c1955]</t>
        </is>
      </c>
      <c r="O272" t="inlineStr">
        <is>
          <t>1968</t>
        </is>
      </c>
      <c r="Q272" t="inlineStr">
        <is>
          <t>eng</t>
        </is>
      </c>
      <c r="R272" t="inlineStr">
        <is>
          <t>nyu</t>
        </is>
      </c>
      <c r="S272" t="inlineStr">
        <is>
          <t>World perspectives ; v. 4</t>
        </is>
      </c>
      <c r="T272" t="inlineStr">
        <is>
          <t xml:space="preserve">BL </t>
        </is>
      </c>
      <c r="U272" t="n">
        <v>2</v>
      </c>
      <c r="V272" t="n">
        <v>2</v>
      </c>
      <c r="W272" t="inlineStr">
        <is>
          <t>1997-03-05</t>
        </is>
      </c>
      <c r="X272" t="inlineStr">
        <is>
          <t>1997-03-05</t>
        </is>
      </c>
      <c r="Y272" t="inlineStr">
        <is>
          <t>1990-09-25</t>
        </is>
      </c>
      <c r="Z272" t="inlineStr">
        <is>
          <t>1990-09-25</t>
        </is>
      </c>
      <c r="AA272" t="n">
        <v>275</v>
      </c>
      <c r="AB272" t="n">
        <v>252</v>
      </c>
      <c r="AC272" t="n">
        <v>665</v>
      </c>
      <c r="AD272" t="n">
        <v>1</v>
      </c>
      <c r="AE272" t="n">
        <v>3</v>
      </c>
      <c r="AF272" t="n">
        <v>11</v>
      </c>
      <c r="AG272" t="n">
        <v>21</v>
      </c>
      <c r="AH272" t="n">
        <v>4</v>
      </c>
      <c r="AI272" t="n">
        <v>7</v>
      </c>
      <c r="AJ272" t="n">
        <v>3</v>
      </c>
      <c r="AK272" t="n">
        <v>5</v>
      </c>
      <c r="AL272" t="n">
        <v>8</v>
      </c>
      <c r="AM272" t="n">
        <v>13</v>
      </c>
      <c r="AN272" t="n">
        <v>0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Yes</t>
        </is>
      </c>
      <c r="AT272">
        <f>HYPERLINK("http://catalog.hathitrust.org/Record/009906720","HathiTrust Record")</f>
        <v/>
      </c>
      <c r="AU272">
        <f>HYPERLINK("https://creighton-primo.hosted.exlibrisgroup.com/primo-explore/search?tab=default_tab&amp;search_scope=EVERYTHING&amp;vid=01CRU&amp;lang=en_US&amp;offset=0&amp;query=any,contains,991002786759702656","Catalog Record")</f>
        <v/>
      </c>
      <c r="AV272">
        <f>HYPERLINK("http://www.worldcat.org/oclc/441923","WorldCat Record")</f>
        <v/>
      </c>
      <c r="AW272" t="inlineStr">
        <is>
          <t>1476823:eng</t>
        </is>
      </c>
      <c r="AX272" t="inlineStr">
        <is>
          <t>441923</t>
        </is>
      </c>
      <c r="AY272" t="inlineStr">
        <is>
          <t>991002786759702656</t>
        </is>
      </c>
      <c r="AZ272" t="inlineStr">
        <is>
          <t>991002786759702656</t>
        </is>
      </c>
      <c r="BA272" t="inlineStr">
        <is>
          <t>2255865280002656</t>
        </is>
      </c>
      <c r="BB272" t="inlineStr">
        <is>
          <t>BOOK</t>
        </is>
      </c>
      <c r="BE272" t="inlineStr">
        <is>
          <t>32285000308956</t>
        </is>
      </c>
      <c r="BF272" t="inlineStr">
        <is>
          <t>893685777</t>
        </is>
      </c>
    </row>
    <row r="273">
      <c r="A273" t="inlineStr">
        <is>
          <t>No</t>
        </is>
      </c>
      <c r="B273" t="inlineStr">
        <is>
          <t>CURAL</t>
        </is>
      </c>
      <c r="C273" t="inlineStr">
        <is>
          <t>SHELVES</t>
        </is>
      </c>
      <c r="D273" t="inlineStr">
        <is>
          <t>BL48 .S48 1992</t>
        </is>
      </c>
      <c r="E273" t="inlineStr">
        <is>
          <t>0                      BL 0048000S  48          1992</t>
        </is>
      </c>
      <c r="F273" t="inlineStr">
        <is>
          <t>Ordinarily sacred / Lynda Sexson.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M273" t="inlineStr">
        <is>
          <t>Sexson, Lynda.</t>
        </is>
      </c>
      <c r="N273" t="inlineStr">
        <is>
          <t>Charlottesville : University Press of Virginia, 1992.</t>
        </is>
      </c>
      <c r="O273" t="inlineStr">
        <is>
          <t>1992</t>
        </is>
      </c>
      <c r="P273" t="inlineStr">
        <is>
          <t>1st pbk. ed.</t>
        </is>
      </c>
      <c r="Q273" t="inlineStr">
        <is>
          <t>eng</t>
        </is>
      </c>
      <c r="R273" t="inlineStr">
        <is>
          <t>vau</t>
        </is>
      </c>
      <c r="S273" t="inlineStr">
        <is>
          <t>Studies in religion and culture</t>
        </is>
      </c>
      <c r="T273" t="inlineStr">
        <is>
          <t xml:space="preserve">BL </t>
        </is>
      </c>
      <c r="U273" t="n">
        <v>1</v>
      </c>
      <c r="V273" t="n">
        <v>1</v>
      </c>
      <c r="W273" t="inlineStr">
        <is>
          <t>2007-05-22</t>
        </is>
      </c>
      <c r="X273" t="inlineStr">
        <is>
          <t>2007-05-22</t>
        </is>
      </c>
      <c r="Y273" t="inlineStr">
        <is>
          <t>2007-05-22</t>
        </is>
      </c>
      <c r="Z273" t="inlineStr">
        <is>
          <t>2007-05-22</t>
        </is>
      </c>
      <c r="AA273" t="n">
        <v>188</v>
      </c>
      <c r="AB273" t="n">
        <v>167</v>
      </c>
      <c r="AC273" t="n">
        <v>255</v>
      </c>
      <c r="AD273" t="n">
        <v>1</v>
      </c>
      <c r="AE273" t="n">
        <v>1</v>
      </c>
      <c r="AF273" t="n">
        <v>4</v>
      </c>
      <c r="AG273" t="n">
        <v>7</v>
      </c>
      <c r="AH273" t="n">
        <v>2</v>
      </c>
      <c r="AI273" t="n">
        <v>2</v>
      </c>
      <c r="AJ273" t="n">
        <v>1</v>
      </c>
      <c r="AK273" t="n">
        <v>1</v>
      </c>
      <c r="AL273" t="n">
        <v>2</v>
      </c>
      <c r="AM273" t="n">
        <v>5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HYPERLINK("https://creighton-primo.hosted.exlibrisgroup.com/primo-explore/search?tab=default_tab&amp;search_scope=EVERYTHING&amp;vid=01CRU&amp;lang=en_US&amp;offset=0&amp;query=any,contains,991005080999702656","Catalog Record")</f>
        <v/>
      </c>
      <c r="AV273">
        <f>HYPERLINK("http://www.worldcat.org/oclc/25676072","WorldCat Record")</f>
        <v/>
      </c>
      <c r="AW273" t="inlineStr">
        <is>
          <t>491170:eng</t>
        </is>
      </c>
      <c r="AX273" t="inlineStr">
        <is>
          <t>25676072</t>
        </is>
      </c>
      <c r="AY273" t="inlineStr">
        <is>
          <t>991005080999702656</t>
        </is>
      </c>
      <c r="AZ273" t="inlineStr">
        <is>
          <t>991005080999702656</t>
        </is>
      </c>
      <c r="BA273" t="inlineStr">
        <is>
          <t>2269390590002656</t>
        </is>
      </c>
      <c r="BB273" t="inlineStr">
        <is>
          <t>BOOK</t>
        </is>
      </c>
      <c r="BD273" t="inlineStr">
        <is>
          <t>9780813914169</t>
        </is>
      </c>
      <c r="BE273" t="inlineStr">
        <is>
          <t>32285005313654</t>
        </is>
      </c>
      <c r="BF273" t="inlineStr">
        <is>
          <t>893260514</t>
        </is>
      </c>
    </row>
    <row r="274">
      <c r="A274" t="inlineStr">
        <is>
          <t>No</t>
        </is>
      </c>
      <c r="B274" t="inlineStr">
        <is>
          <t>CURAL</t>
        </is>
      </c>
      <c r="C274" t="inlineStr">
        <is>
          <t>SHELVES</t>
        </is>
      </c>
      <c r="D274" t="inlineStr">
        <is>
          <t>BL48 .S592 1973b</t>
        </is>
      </c>
      <c r="E274" t="inlineStr">
        <is>
          <t>0                      BL 0048000S  592         1973b</t>
        </is>
      </c>
      <c r="F274" t="inlineStr">
        <is>
          <t>The phenomenon of religion [by] Ninian Smart.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M274" t="inlineStr">
        <is>
          <t>Smart, Ninian, 1927-2001.</t>
        </is>
      </c>
      <c r="N274" t="inlineStr">
        <is>
          <t>[New York] Herder and Herder [1973]</t>
        </is>
      </c>
      <c r="O274" t="inlineStr">
        <is>
          <t>1973</t>
        </is>
      </c>
      <c r="Q274" t="inlineStr">
        <is>
          <t>eng</t>
        </is>
      </c>
      <c r="R274" t="inlineStr">
        <is>
          <t>nyu</t>
        </is>
      </c>
      <c r="S274" t="inlineStr">
        <is>
          <t>Philosophy of religion series</t>
        </is>
      </c>
      <c r="T274" t="inlineStr">
        <is>
          <t xml:space="preserve">BL </t>
        </is>
      </c>
      <c r="U274" t="n">
        <v>2</v>
      </c>
      <c r="V274" t="n">
        <v>2</v>
      </c>
      <c r="W274" t="inlineStr">
        <is>
          <t>1995-01-13</t>
        </is>
      </c>
      <c r="X274" t="inlineStr">
        <is>
          <t>1995-01-13</t>
        </is>
      </c>
      <c r="Y274" t="inlineStr">
        <is>
          <t>1990-09-25</t>
        </is>
      </c>
      <c r="Z274" t="inlineStr">
        <is>
          <t>1990-09-25</t>
        </is>
      </c>
      <c r="AA274" t="n">
        <v>531</v>
      </c>
      <c r="AB274" t="n">
        <v>497</v>
      </c>
      <c r="AC274" t="n">
        <v>646</v>
      </c>
      <c r="AD274" t="n">
        <v>4</v>
      </c>
      <c r="AE274" t="n">
        <v>5</v>
      </c>
      <c r="AF274" t="n">
        <v>28</v>
      </c>
      <c r="AG274" t="n">
        <v>34</v>
      </c>
      <c r="AH274" t="n">
        <v>12</v>
      </c>
      <c r="AI274" t="n">
        <v>13</v>
      </c>
      <c r="AJ274" t="n">
        <v>4</v>
      </c>
      <c r="AK274" t="n">
        <v>8</v>
      </c>
      <c r="AL274" t="n">
        <v>19</v>
      </c>
      <c r="AM274" t="n">
        <v>22</v>
      </c>
      <c r="AN274" t="n">
        <v>2</v>
      </c>
      <c r="AO274" t="n">
        <v>3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HYPERLINK("http://catalog.hathitrust.org/Record/006021021","HathiTrust Record")</f>
        <v/>
      </c>
      <c r="AU274">
        <f>HYPERLINK("https://creighton-primo.hosted.exlibrisgroup.com/primo-explore/search?tab=default_tab&amp;search_scope=EVERYTHING&amp;vid=01CRU&amp;lang=en_US&amp;offset=0&amp;query=any,contains,991003038109702656","Catalog Record")</f>
        <v/>
      </c>
      <c r="AV274">
        <f>HYPERLINK("http://www.worldcat.org/oclc/600279","WorldCat Record")</f>
        <v/>
      </c>
      <c r="AW274" t="inlineStr">
        <is>
          <t>141497542:eng</t>
        </is>
      </c>
      <c r="AX274" t="inlineStr">
        <is>
          <t>600279</t>
        </is>
      </c>
      <c r="AY274" t="inlineStr">
        <is>
          <t>991003038109702656</t>
        </is>
      </c>
      <c r="AZ274" t="inlineStr">
        <is>
          <t>991003038109702656</t>
        </is>
      </c>
      <c r="BA274" t="inlineStr">
        <is>
          <t>2261099290002656</t>
        </is>
      </c>
      <c r="BB274" t="inlineStr">
        <is>
          <t>BOOK</t>
        </is>
      </c>
      <c r="BD274" t="inlineStr">
        <is>
          <t>9780070737938</t>
        </is>
      </c>
      <c r="BE274" t="inlineStr">
        <is>
          <t>32285000309020</t>
        </is>
      </c>
      <c r="BF274" t="inlineStr">
        <is>
          <t>893336069</t>
        </is>
      </c>
    </row>
    <row r="275">
      <c r="A275" t="inlineStr">
        <is>
          <t>No</t>
        </is>
      </c>
      <c r="B275" t="inlineStr">
        <is>
          <t>CURAL</t>
        </is>
      </c>
      <c r="C275" t="inlineStr">
        <is>
          <t>SHELVES</t>
        </is>
      </c>
      <c r="D275" t="inlineStr">
        <is>
          <t>BL48 .S594</t>
        </is>
      </c>
      <c r="E275" t="inlineStr">
        <is>
          <t>0                      BL 0048000S  594</t>
        </is>
      </c>
      <c r="F275" t="inlineStr">
        <is>
          <t>Map is not territory : studies in the history of religions / by Jonathan Z. Smith.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Smith, Jonathan Z.</t>
        </is>
      </c>
      <c r="N275" t="inlineStr">
        <is>
          <t>Leiden : Brill, 1978.</t>
        </is>
      </c>
      <c r="O275" t="inlineStr">
        <is>
          <t>1978</t>
        </is>
      </c>
      <c r="Q275" t="inlineStr">
        <is>
          <t>eng</t>
        </is>
      </c>
      <c r="R275" t="inlineStr">
        <is>
          <t xml:space="preserve">ne </t>
        </is>
      </c>
      <c r="S275" t="inlineStr">
        <is>
          <t>Studies in Judaism in late antiquity ; v. 23</t>
        </is>
      </c>
      <c r="T275" t="inlineStr">
        <is>
          <t xml:space="preserve">BL </t>
        </is>
      </c>
      <c r="U275" t="n">
        <v>3</v>
      </c>
      <c r="V275" t="n">
        <v>3</v>
      </c>
      <c r="W275" t="inlineStr">
        <is>
          <t>2005-02-13</t>
        </is>
      </c>
      <c r="X275" t="inlineStr">
        <is>
          <t>2005-02-13</t>
        </is>
      </c>
      <c r="Y275" t="inlineStr">
        <is>
          <t>1990-09-25</t>
        </is>
      </c>
      <c r="Z275" t="inlineStr">
        <is>
          <t>1990-09-25</t>
        </is>
      </c>
      <c r="AA275" t="n">
        <v>322</v>
      </c>
      <c r="AB275" t="n">
        <v>225</v>
      </c>
      <c r="AC275" t="n">
        <v>381</v>
      </c>
      <c r="AD275" t="n">
        <v>3</v>
      </c>
      <c r="AE275" t="n">
        <v>3</v>
      </c>
      <c r="AF275" t="n">
        <v>14</v>
      </c>
      <c r="AG275" t="n">
        <v>22</v>
      </c>
      <c r="AH275" t="n">
        <v>3</v>
      </c>
      <c r="AI275" t="n">
        <v>9</v>
      </c>
      <c r="AJ275" t="n">
        <v>2</v>
      </c>
      <c r="AK275" t="n">
        <v>3</v>
      </c>
      <c r="AL275" t="n">
        <v>10</v>
      </c>
      <c r="AM275" t="n">
        <v>14</v>
      </c>
      <c r="AN275" t="n">
        <v>2</v>
      </c>
      <c r="AO275" t="n">
        <v>2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HYPERLINK("http://catalog.hathitrust.org/Record/000217787","HathiTrust Record")</f>
        <v/>
      </c>
      <c r="AU275">
        <f>HYPERLINK("https://creighton-primo.hosted.exlibrisgroup.com/primo-explore/search?tab=default_tab&amp;search_scope=EVERYTHING&amp;vid=01CRU&amp;lang=en_US&amp;offset=0&amp;query=any,contains,991004695769702656","Catalog Record")</f>
        <v/>
      </c>
      <c r="AV275">
        <f>HYPERLINK("http://www.worldcat.org/oclc/4277574","WorldCat Record")</f>
        <v/>
      </c>
      <c r="AW275" t="inlineStr">
        <is>
          <t>807292169:eng</t>
        </is>
      </c>
      <c r="AX275" t="inlineStr">
        <is>
          <t>4277574</t>
        </is>
      </c>
      <c r="AY275" t="inlineStr">
        <is>
          <t>991004695769702656</t>
        </is>
      </c>
      <c r="AZ275" t="inlineStr">
        <is>
          <t>991004695769702656</t>
        </is>
      </c>
      <c r="BA275" t="inlineStr">
        <is>
          <t>2257213010002656</t>
        </is>
      </c>
      <c r="BB275" t="inlineStr">
        <is>
          <t>BOOK</t>
        </is>
      </c>
      <c r="BD275" t="inlineStr">
        <is>
          <t>9789004054929</t>
        </is>
      </c>
      <c r="BE275" t="inlineStr">
        <is>
          <t>32285000309046</t>
        </is>
      </c>
      <c r="BF275" t="inlineStr">
        <is>
          <t>893411846</t>
        </is>
      </c>
    </row>
    <row r="276">
      <c r="A276" t="inlineStr">
        <is>
          <t>No</t>
        </is>
      </c>
      <c r="B276" t="inlineStr">
        <is>
          <t>CURAL</t>
        </is>
      </c>
      <c r="C276" t="inlineStr">
        <is>
          <t>SHELVES</t>
        </is>
      </c>
      <c r="D276" t="inlineStr">
        <is>
          <t>BL48 .T68</t>
        </is>
      </c>
      <c r="E276" t="inlineStr">
        <is>
          <t>0                      BL 0048000T  68</t>
        </is>
      </c>
      <c r="F276" t="inlineStr">
        <is>
          <t>An historian's approach to religion; based on Gifford lectures delivered in the University of Edinburgh in the years 1952 and 1953.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Toynbee, Arnold, 1889-1975.</t>
        </is>
      </c>
      <c r="N276" t="inlineStr">
        <is>
          <t>New York, Oxford University Press, 1956.</t>
        </is>
      </c>
      <c r="O276" t="inlineStr">
        <is>
          <t>1956</t>
        </is>
      </c>
      <c r="Q276" t="inlineStr">
        <is>
          <t>eng</t>
        </is>
      </c>
      <c r="R276" t="inlineStr">
        <is>
          <t>nyu</t>
        </is>
      </c>
      <c r="T276" t="inlineStr">
        <is>
          <t xml:space="preserve">BL </t>
        </is>
      </c>
      <c r="U276" t="n">
        <v>3</v>
      </c>
      <c r="V276" t="n">
        <v>3</v>
      </c>
      <c r="W276" t="inlineStr">
        <is>
          <t>2007-03-14</t>
        </is>
      </c>
      <c r="X276" t="inlineStr">
        <is>
          <t>2007-03-14</t>
        </is>
      </c>
      <c r="Y276" t="inlineStr">
        <is>
          <t>1990-09-25</t>
        </is>
      </c>
      <c r="Z276" t="inlineStr">
        <is>
          <t>1990-09-25</t>
        </is>
      </c>
      <c r="AA276" t="n">
        <v>1388</v>
      </c>
      <c r="AB276" t="n">
        <v>1284</v>
      </c>
      <c r="AC276" t="n">
        <v>1601</v>
      </c>
      <c r="AD276" t="n">
        <v>12</v>
      </c>
      <c r="AE276" t="n">
        <v>14</v>
      </c>
      <c r="AF276" t="n">
        <v>36</v>
      </c>
      <c r="AG276" t="n">
        <v>47</v>
      </c>
      <c r="AH276" t="n">
        <v>13</v>
      </c>
      <c r="AI276" t="n">
        <v>16</v>
      </c>
      <c r="AJ276" t="n">
        <v>9</v>
      </c>
      <c r="AK276" t="n">
        <v>10</v>
      </c>
      <c r="AL276" t="n">
        <v>17</v>
      </c>
      <c r="AM276" t="n">
        <v>24</v>
      </c>
      <c r="AN276" t="n">
        <v>6</v>
      </c>
      <c r="AO276" t="n">
        <v>8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T276">
        <f>HYPERLINK("http://catalog.hathitrust.org/Record/001391150","HathiTrust Record")</f>
        <v/>
      </c>
      <c r="AU276">
        <f>HYPERLINK("https://creighton-primo.hosted.exlibrisgroup.com/primo-explore/search?tab=default_tab&amp;search_scope=EVERYTHING&amp;vid=01CRU&amp;lang=en_US&amp;offset=0&amp;query=any,contains,991002155579702656","Catalog Record")</f>
        <v/>
      </c>
      <c r="AV276">
        <f>HYPERLINK("http://www.worldcat.org/oclc/272766","WorldCat Record")</f>
        <v/>
      </c>
      <c r="AW276" t="inlineStr">
        <is>
          <t>355182976:eng</t>
        </is>
      </c>
      <c r="AX276" t="inlineStr">
        <is>
          <t>272766</t>
        </is>
      </c>
      <c r="AY276" t="inlineStr">
        <is>
          <t>991002155579702656</t>
        </is>
      </c>
      <c r="AZ276" t="inlineStr">
        <is>
          <t>991002155579702656</t>
        </is>
      </c>
      <c r="BA276" t="inlineStr">
        <is>
          <t>2262332070002656</t>
        </is>
      </c>
      <c r="BB276" t="inlineStr">
        <is>
          <t>BOOK</t>
        </is>
      </c>
      <c r="BE276" t="inlineStr">
        <is>
          <t>32285000309079</t>
        </is>
      </c>
      <c r="BF276" t="inlineStr">
        <is>
          <t>893785783</t>
        </is>
      </c>
    </row>
    <row r="277">
      <c r="A277" t="inlineStr">
        <is>
          <t>No</t>
        </is>
      </c>
      <c r="B277" t="inlineStr">
        <is>
          <t>CURAL</t>
        </is>
      </c>
      <c r="C277" t="inlineStr">
        <is>
          <t>SHELVES</t>
        </is>
      </c>
      <c r="D277" t="inlineStr">
        <is>
          <t>BL48 .W185</t>
        </is>
      </c>
      <c r="E277" t="inlineStr">
        <is>
          <t>0                      BL 0048000W  185</t>
        </is>
      </c>
      <c r="F277" t="inlineStr">
        <is>
          <t>Religion; an anthropological view, by Anthony F. C. Wallace.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M277" t="inlineStr">
        <is>
          <t>Wallace, Anthony F. C., 1923-</t>
        </is>
      </c>
      <c r="N277" t="inlineStr">
        <is>
          <t>New York, Random House [1966]</t>
        </is>
      </c>
      <c r="O277" t="inlineStr">
        <is>
          <t>1966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BL </t>
        </is>
      </c>
      <c r="U277" t="n">
        <v>3</v>
      </c>
      <c r="V277" t="n">
        <v>3</v>
      </c>
      <c r="W277" t="inlineStr">
        <is>
          <t>2006-04-02</t>
        </is>
      </c>
      <c r="X277" t="inlineStr">
        <is>
          <t>2006-04-02</t>
        </is>
      </c>
      <c r="Y277" t="inlineStr">
        <is>
          <t>1990-09-25</t>
        </is>
      </c>
      <c r="Z277" t="inlineStr">
        <is>
          <t>1990-09-25</t>
        </is>
      </c>
      <c r="AA277" t="n">
        <v>1109</v>
      </c>
      <c r="AB277" t="n">
        <v>941</v>
      </c>
      <c r="AC277" t="n">
        <v>964</v>
      </c>
      <c r="AD277" t="n">
        <v>5</v>
      </c>
      <c r="AE277" t="n">
        <v>5</v>
      </c>
      <c r="AF277" t="n">
        <v>34</v>
      </c>
      <c r="AG277" t="n">
        <v>34</v>
      </c>
      <c r="AH277" t="n">
        <v>14</v>
      </c>
      <c r="AI277" t="n">
        <v>14</v>
      </c>
      <c r="AJ277" t="n">
        <v>9</v>
      </c>
      <c r="AK277" t="n">
        <v>9</v>
      </c>
      <c r="AL277" t="n">
        <v>17</v>
      </c>
      <c r="AM277" t="n">
        <v>17</v>
      </c>
      <c r="AN277" t="n">
        <v>3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HYPERLINK("http://catalog.hathitrust.org/Record/001391154","HathiTrust Record")</f>
        <v/>
      </c>
      <c r="AU277">
        <f>HYPERLINK("https://creighton-primo.hosted.exlibrisgroup.com/primo-explore/search?tab=default_tab&amp;search_scope=EVERYTHING&amp;vid=01CRU&amp;lang=en_US&amp;offset=0&amp;query=any,contains,991003595379702656","Catalog Record")</f>
        <v/>
      </c>
      <c r="AV277">
        <f>HYPERLINK("http://www.worldcat.org/oclc/1175604","WorldCat Record")</f>
        <v/>
      </c>
      <c r="AW277" t="inlineStr">
        <is>
          <t>287921350:eng</t>
        </is>
      </c>
      <c r="AX277" t="inlineStr">
        <is>
          <t>1175604</t>
        </is>
      </c>
      <c r="AY277" t="inlineStr">
        <is>
          <t>991003595379702656</t>
        </is>
      </c>
      <c r="AZ277" t="inlineStr">
        <is>
          <t>991003595379702656</t>
        </is>
      </c>
      <c r="BA277" t="inlineStr">
        <is>
          <t>2271921670002656</t>
        </is>
      </c>
      <c r="BB277" t="inlineStr">
        <is>
          <t>BOOK</t>
        </is>
      </c>
      <c r="BE277" t="inlineStr">
        <is>
          <t>32285000309087</t>
        </is>
      </c>
      <c r="BF277" t="inlineStr">
        <is>
          <t>893887648</t>
        </is>
      </c>
    </row>
    <row r="278">
      <c r="A278" t="inlineStr">
        <is>
          <t>No</t>
        </is>
      </c>
      <c r="B278" t="inlineStr">
        <is>
          <t>CURAL</t>
        </is>
      </c>
      <c r="C278" t="inlineStr">
        <is>
          <t>SHELVES</t>
        </is>
      </c>
      <c r="D278" t="inlineStr">
        <is>
          <t>BL50 .B725</t>
        </is>
      </c>
      <c r="E278" t="inlineStr">
        <is>
          <t>0                      BL 0050000B  725</t>
        </is>
      </c>
      <c r="F278" t="inlineStr">
        <is>
          <t>The sense of God; sociological, anthropological, and psychological approaches to the origin of the sense of God.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M278" t="inlineStr">
        <is>
          <t>Bowker, John, 1935-</t>
        </is>
      </c>
      <c r="N278" t="inlineStr">
        <is>
          <t>Oxford, Clarendon P., 1973.</t>
        </is>
      </c>
      <c r="O278" t="inlineStr">
        <is>
          <t>1973</t>
        </is>
      </c>
      <c r="Q278" t="inlineStr">
        <is>
          <t>eng</t>
        </is>
      </c>
      <c r="R278" t="inlineStr">
        <is>
          <t>enk</t>
        </is>
      </c>
      <c r="T278" t="inlineStr">
        <is>
          <t xml:space="preserve">BL </t>
        </is>
      </c>
      <c r="U278" t="n">
        <v>3</v>
      </c>
      <c r="V278" t="n">
        <v>3</v>
      </c>
      <c r="W278" t="inlineStr">
        <is>
          <t>1994-04-05</t>
        </is>
      </c>
      <c r="X278" t="inlineStr">
        <is>
          <t>1994-04-05</t>
        </is>
      </c>
      <c r="Y278" t="inlineStr">
        <is>
          <t>1990-09-25</t>
        </is>
      </c>
      <c r="Z278" t="inlineStr">
        <is>
          <t>1990-09-25</t>
        </is>
      </c>
      <c r="AA278" t="n">
        <v>663</v>
      </c>
      <c r="AB278" t="n">
        <v>488</v>
      </c>
      <c r="AC278" t="n">
        <v>527</v>
      </c>
      <c r="AD278" t="n">
        <v>6</v>
      </c>
      <c r="AE278" t="n">
        <v>6</v>
      </c>
      <c r="AF278" t="n">
        <v>31</v>
      </c>
      <c r="AG278" t="n">
        <v>33</v>
      </c>
      <c r="AH278" t="n">
        <v>9</v>
      </c>
      <c r="AI278" t="n">
        <v>11</v>
      </c>
      <c r="AJ278" t="n">
        <v>8</v>
      </c>
      <c r="AK278" t="n">
        <v>8</v>
      </c>
      <c r="AL278" t="n">
        <v>18</v>
      </c>
      <c r="AM278" t="n">
        <v>19</v>
      </c>
      <c r="AN278" t="n">
        <v>4</v>
      </c>
      <c r="AO278" t="n">
        <v>4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HYPERLINK("http://catalog.hathitrust.org/Record/001391097","HathiTrust Record")</f>
        <v/>
      </c>
      <c r="AU278">
        <f>HYPERLINK("https://creighton-primo.hosted.exlibrisgroup.com/primo-explore/search?tab=default_tab&amp;search_scope=EVERYTHING&amp;vid=01CRU&amp;lang=en_US&amp;offset=0&amp;query=any,contains,991003277839702656","Catalog Record")</f>
        <v/>
      </c>
      <c r="AV278">
        <f>HYPERLINK("http://www.worldcat.org/oclc/801248","WorldCat Record")</f>
        <v/>
      </c>
      <c r="AW278" t="inlineStr">
        <is>
          <t>231412961:eng</t>
        </is>
      </c>
      <c r="AX278" t="inlineStr">
        <is>
          <t>801248</t>
        </is>
      </c>
      <c r="AY278" t="inlineStr">
        <is>
          <t>991003277839702656</t>
        </is>
      </c>
      <c r="AZ278" t="inlineStr">
        <is>
          <t>991003277839702656</t>
        </is>
      </c>
      <c r="BA278" t="inlineStr">
        <is>
          <t>2267500030002656</t>
        </is>
      </c>
      <c r="BB278" t="inlineStr">
        <is>
          <t>BOOK</t>
        </is>
      </c>
      <c r="BD278" t="inlineStr">
        <is>
          <t>9780198266327</t>
        </is>
      </c>
      <c r="BE278" t="inlineStr">
        <is>
          <t>32285000309137</t>
        </is>
      </c>
      <c r="BF278" t="inlineStr">
        <is>
          <t>893317829</t>
        </is>
      </c>
    </row>
    <row r="279">
      <c r="A279" t="inlineStr">
        <is>
          <t>No</t>
        </is>
      </c>
      <c r="B279" t="inlineStr">
        <is>
          <t>CURAL</t>
        </is>
      </c>
      <c r="C279" t="inlineStr">
        <is>
          <t>SHELVES</t>
        </is>
      </c>
      <c r="D279" t="inlineStr">
        <is>
          <t>BL50 .E46</t>
        </is>
      </c>
      <c r="E279" t="inlineStr">
        <is>
          <t>0                      BL 0050000E  46</t>
        </is>
      </c>
      <c r="F279" t="inlineStr">
        <is>
          <t>The quest; history and meaning in religion.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M279" t="inlineStr">
        <is>
          <t>Eliade, Mircea, 1907-1986.</t>
        </is>
      </c>
      <c r="N279" t="inlineStr">
        <is>
          <t>Chicago, University of Chicago Press [1969]</t>
        </is>
      </c>
      <c r="O279" t="inlineStr">
        <is>
          <t>1969</t>
        </is>
      </c>
      <c r="Q279" t="inlineStr">
        <is>
          <t>eng</t>
        </is>
      </c>
      <c r="R279" t="inlineStr">
        <is>
          <t>ilu</t>
        </is>
      </c>
      <c r="T279" t="inlineStr">
        <is>
          <t xml:space="preserve">BL </t>
        </is>
      </c>
      <c r="U279" t="n">
        <v>1</v>
      </c>
      <c r="V279" t="n">
        <v>1</v>
      </c>
      <c r="W279" t="inlineStr">
        <is>
          <t>2003-05-27</t>
        </is>
      </c>
      <c r="X279" t="inlineStr">
        <is>
          <t>2003-05-27</t>
        </is>
      </c>
      <c r="Y279" t="inlineStr">
        <is>
          <t>1990-09-25</t>
        </is>
      </c>
      <c r="Z279" t="inlineStr">
        <is>
          <t>1990-09-25</t>
        </is>
      </c>
      <c r="AA279" t="n">
        <v>1146</v>
      </c>
      <c r="AB279" t="n">
        <v>958</v>
      </c>
      <c r="AC279" t="n">
        <v>1030</v>
      </c>
      <c r="AD279" t="n">
        <v>5</v>
      </c>
      <c r="AE279" t="n">
        <v>5</v>
      </c>
      <c r="AF279" t="n">
        <v>45</v>
      </c>
      <c r="AG279" t="n">
        <v>49</v>
      </c>
      <c r="AH279" t="n">
        <v>19</v>
      </c>
      <c r="AI279" t="n">
        <v>20</v>
      </c>
      <c r="AJ279" t="n">
        <v>9</v>
      </c>
      <c r="AK279" t="n">
        <v>11</v>
      </c>
      <c r="AL279" t="n">
        <v>24</v>
      </c>
      <c r="AM279" t="n">
        <v>27</v>
      </c>
      <c r="AN279" t="n">
        <v>4</v>
      </c>
      <c r="AO279" t="n">
        <v>4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HYPERLINK("http://catalog.hathitrust.org/Record/003911535","HathiTrust Record")</f>
        <v/>
      </c>
      <c r="AU279">
        <f>HYPERLINK("https://creighton-primo.hosted.exlibrisgroup.com/primo-explore/search?tab=default_tab&amp;search_scope=EVERYTHING&amp;vid=01CRU&amp;lang=en_US&amp;offset=0&amp;query=any,contains,991000056249702656","Catalog Record")</f>
        <v/>
      </c>
      <c r="AV279">
        <f>HYPERLINK("http://www.worldcat.org/oclc/23570","WorldCat Record")</f>
        <v/>
      </c>
      <c r="AW279" t="inlineStr">
        <is>
          <t>3943345539:eng</t>
        </is>
      </c>
      <c r="AX279" t="inlineStr">
        <is>
          <t>23570</t>
        </is>
      </c>
      <c r="AY279" t="inlineStr">
        <is>
          <t>991000056249702656</t>
        </is>
      </c>
      <c r="AZ279" t="inlineStr">
        <is>
          <t>991000056249702656</t>
        </is>
      </c>
      <c r="BA279" t="inlineStr">
        <is>
          <t>2265532270002656</t>
        </is>
      </c>
      <c r="BB279" t="inlineStr">
        <is>
          <t>BOOK</t>
        </is>
      </c>
      <c r="BE279" t="inlineStr">
        <is>
          <t>32285000309152</t>
        </is>
      </c>
      <c r="BF279" t="inlineStr">
        <is>
          <t>893790199</t>
        </is>
      </c>
    </row>
    <row r="280">
      <c r="A280" t="inlineStr">
        <is>
          <t>No</t>
        </is>
      </c>
      <c r="B280" t="inlineStr">
        <is>
          <t>CURAL</t>
        </is>
      </c>
      <c r="C280" t="inlineStr">
        <is>
          <t>SHELVES</t>
        </is>
      </c>
      <c r="D280" t="inlineStr">
        <is>
          <t>BL50 .E96</t>
        </is>
      </c>
      <c r="E280" t="inlineStr">
        <is>
          <t>0                      BL 0050000E  96</t>
        </is>
      </c>
      <c r="F280" t="inlineStr">
        <is>
          <t>Ex orbe religionum. Studia Geo Widengren, XXIV mense apr. MCMLXXII quo die lustra tredecim feliciter explevit oblata ab collegis, discipulis, amicis, collegae magistro amico congratulantibus.</t>
        </is>
      </c>
      <c r="G280" t="inlineStr">
        <is>
          <t>V.1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Leiden, Brill, 1972.</t>
        </is>
      </c>
      <c r="O280" t="inlineStr">
        <is>
          <t>1972</t>
        </is>
      </c>
      <c r="Q280" t="inlineStr">
        <is>
          <t>lat</t>
        </is>
      </c>
      <c r="R280" t="inlineStr">
        <is>
          <t xml:space="preserve">ne </t>
        </is>
      </c>
      <c r="S280" t="inlineStr">
        <is>
          <t>Studies in the history of religions; supplements to Numen, 21-22</t>
        </is>
      </c>
      <c r="T280" t="inlineStr">
        <is>
          <t xml:space="preserve">BL </t>
        </is>
      </c>
      <c r="U280" t="n">
        <v>0</v>
      </c>
      <c r="V280" t="n">
        <v>2</v>
      </c>
      <c r="X280" t="inlineStr">
        <is>
          <t>2005-03-14</t>
        </is>
      </c>
      <c r="Y280" t="inlineStr">
        <is>
          <t>1990-09-25</t>
        </is>
      </c>
      <c r="Z280" t="inlineStr">
        <is>
          <t>1990-09-25</t>
        </is>
      </c>
      <c r="AA280" t="n">
        <v>206</v>
      </c>
      <c r="AB280" t="n">
        <v>173</v>
      </c>
      <c r="AC280" t="n">
        <v>175</v>
      </c>
      <c r="AD280" t="n">
        <v>1</v>
      </c>
      <c r="AE280" t="n">
        <v>1</v>
      </c>
      <c r="AF280" t="n">
        <v>8</v>
      </c>
      <c r="AG280" t="n">
        <v>8</v>
      </c>
      <c r="AH280" t="n">
        <v>0</v>
      </c>
      <c r="AI280" t="n">
        <v>0</v>
      </c>
      <c r="AJ280" t="n">
        <v>4</v>
      </c>
      <c r="AK280" t="n">
        <v>4</v>
      </c>
      <c r="AL280" t="n">
        <v>5</v>
      </c>
      <c r="AM280" t="n">
        <v>5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HYPERLINK("http://catalog.hathitrust.org/Record/001679699","HathiTrust Record")</f>
        <v/>
      </c>
      <c r="AU280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0">
        <f>HYPERLINK("http://www.worldcat.org/oclc/576564","WorldCat Record")</f>
        <v/>
      </c>
      <c r="AW280" t="inlineStr">
        <is>
          <t>3373221957:lat</t>
        </is>
      </c>
      <c r="AX280" t="inlineStr">
        <is>
          <t>576564</t>
        </is>
      </c>
      <c r="AY280" t="inlineStr">
        <is>
          <t>991003009249702656</t>
        </is>
      </c>
      <c r="AZ280" t="inlineStr">
        <is>
          <t>991003009249702656</t>
        </is>
      </c>
      <c r="BA280" t="inlineStr">
        <is>
          <t>2257570650002656</t>
        </is>
      </c>
      <c r="BB280" t="inlineStr">
        <is>
          <t>BOOK</t>
        </is>
      </c>
      <c r="BE280" t="inlineStr">
        <is>
          <t>32285000309160</t>
        </is>
      </c>
      <c r="BF280" t="inlineStr">
        <is>
          <t>893233721</t>
        </is>
      </c>
    </row>
    <row r="281">
      <c r="A281" t="inlineStr">
        <is>
          <t>No</t>
        </is>
      </c>
      <c r="B281" t="inlineStr">
        <is>
          <t>CURAL</t>
        </is>
      </c>
      <c r="C281" t="inlineStr">
        <is>
          <t>SHELVES</t>
        </is>
      </c>
      <c r="D281" t="inlineStr">
        <is>
          <t>BL50 .E96</t>
        </is>
      </c>
      <c r="E281" t="inlineStr">
        <is>
          <t>0                      BL 0050000E  96</t>
        </is>
      </c>
      <c r="F281" t="inlineStr">
        <is>
          <t>Ex orbe religionum. Studia Geo Widengren, XXIV mense apr. MCMLXXII quo die lustra tredecim feliciter explevit oblata ab collegis, discipulis, amicis, collegae magistro amico congratulantibus.</t>
        </is>
      </c>
      <c r="G281" t="inlineStr">
        <is>
          <t>V.2</t>
        </is>
      </c>
      <c r="H281" t="inlineStr">
        <is>
          <t>Yes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Leiden, Brill, 1972.</t>
        </is>
      </c>
      <c r="O281" t="inlineStr">
        <is>
          <t>1972</t>
        </is>
      </c>
      <c r="Q281" t="inlineStr">
        <is>
          <t>lat</t>
        </is>
      </c>
      <c r="R281" t="inlineStr">
        <is>
          <t xml:space="preserve">ne </t>
        </is>
      </c>
      <c r="S281" t="inlineStr">
        <is>
          <t>Studies in the history of religions; supplements to Numen, 21-22</t>
        </is>
      </c>
      <c r="T281" t="inlineStr">
        <is>
          <t xml:space="preserve">BL </t>
        </is>
      </c>
      <c r="U281" t="n">
        <v>2</v>
      </c>
      <c r="V281" t="n">
        <v>2</v>
      </c>
      <c r="W281" t="inlineStr">
        <is>
          <t>2005-03-14</t>
        </is>
      </c>
      <c r="X281" t="inlineStr">
        <is>
          <t>2005-03-14</t>
        </is>
      </c>
      <c r="Y281" t="inlineStr">
        <is>
          <t>1990-09-25</t>
        </is>
      </c>
      <c r="Z281" t="inlineStr">
        <is>
          <t>1990-09-25</t>
        </is>
      </c>
      <c r="AA281" t="n">
        <v>206</v>
      </c>
      <c r="AB281" t="n">
        <v>173</v>
      </c>
      <c r="AC281" t="n">
        <v>175</v>
      </c>
      <c r="AD281" t="n">
        <v>1</v>
      </c>
      <c r="AE281" t="n">
        <v>1</v>
      </c>
      <c r="AF281" t="n">
        <v>8</v>
      </c>
      <c r="AG281" t="n">
        <v>8</v>
      </c>
      <c r="AH281" t="n">
        <v>0</v>
      </c>
      <c r="AI281" t="n">
        <v>0</v>
      </c>
      <c r="AJ281" t="n">
        <v>4</v>
      </c>
      <c r="AK281" t="n">
        <v>4</v>
      </c>
      <c r="AL281" t="n">
        <v>5</v>
      </c>
      <c r="AM281" t="n">
        <v>5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HYPERLINK("http://catalog.hathitrust.org/Record/001679699","HathiTrust Record")</f>
        <v/>
      </c>
      <c r="AU281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1">
        <f>HYPERLINK("http://www.worldcat.org/oclc/576564","WorldCat Record")</f>
        <v/>
      </c>
      <c r="AW281" t="inlineStr">
        <is>
          <t>3373221957:lat</t>
        </is>
      </c>
      <c r="AX281" t="inlineStr">
        <is>
          <t>576564</t>
        </is>
      </c>
      <c r="AY281" t="inlineStr">
        <is>
          <t>991003009249702656</t>
        </is>
      </c>
      <c r="AZ281" t="inlineStr">
        <is>
          <t>991003009249702656</t>
        </is>
      </c>
      <c r="BA281" t="inlineStr">
        <is>
          <t>2257570650002656</t>
        </is>
      </c>
      <c r="BB281" t="inlineStr">
        <is>
          <t>BOOK</t>
        </is>
      </c>
      <c r="BE281" t="inlineStr">
        <is>
          <t>32285000309178</t>
        </is>
      </c>
      <c r="BF281" t="inlineStr">
        <is>
          <t>893262593</t>
        </is>
      </c>
    </row>
    <row r="282">
      <c r="A282" t="inlineStr">
        <is>
          <t>No</t>
        </is>
      </c>
      <c r="B282" t="inlineStr">
        <is>
          <t>CURAL</t>
        </is>
      </c>
      <c r="C282" t="inlineStr">
        <is>
          <t>SHELVES</t>
        </is>
      </c>
      <c r="D282" t="inlineStr">
        <is>
          <t>BL50 .G83 1972</t>
        </is>
      </c>
      <c r="E282" t="inlineStr">
        <is>
          <t>0                      BL 0050000G  83          1972</t>
        </is>
      </c>
      <c r="F282" t="inlineStr">
        <is>
          <t>Dios, el ser, el misterio : ensayo / J. R. Guillent Pérez.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Guillent Pérez, J. R.</t>
        </is>
      </c>
      <c r="N282" t="inlineStr">
        <is>
          <t>Caracas : Monte Avila, c1972, 1974.</t>
        </is>
      </c>
      <c r="O282" t="inlineStr">
        <is>
          <t>1974</t>
        </is>
      </c>
      <c r="Q282" t="inlineStr">
        <is>
          <t>spa</t>
        </is>
      </c>
      <c r="R282" t="inlineStr">
        <is>
          <t xml:space="preserve">ve </t>
        </is>
      </c>
      <c r="S282" t="inlineStr">
        <is>
          <t>Colección Estudios</t>
        </is>
      </c>
      <c r="T282" t="inlineStr">
        <is>
          <t xml:space="preserve">BL </t>
        </is>
      </c>
      <c r="U282" t="n">
        <v>1</v>
      </c>
      <c r="V282" t="n">
        <v>1</v>
      </c>
      <c r="W282" t="inlineStr">
        <is>
          <t>2002-06-20</t>
        </is>
      </c>
      <c r="X282" t="inlineStr">
        <is>
          <t>2002-06-20</t>
        </is>
      </c>
      <c r="Y282" t="inlineStr">
        <is>
          <t>2002-06-20</t>
        </is>
      </c>
      <c r="Z282" t="inlineStr">
        <is>
          <t>2002-06-20</t>
        </is>
      </c>
      <c r="AA282" t="n">
        <v>4</v>
      </c>
      <c r="AB282" t="n">
        <v>4</v>
      </c>
      <c r="AC282" t="n">
        <v>4</v>
      </c>
      <c r="AD282" t="n">
        <v>2</v>
      </c>
      <c r="AE282" t="n">
        <v>2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1</v>
      </c>
      <c r="AO282" t="n">
        <v>1</v>
      </c>
      <c r="AP282" t="n">
        <v>0</v>
      </c>
      <c r="AQ282" t="n">
        <v>0</v>
      </c>
      <c r="AR282" t="inlineStr">
        <is>
          <t>No</t>
        </is>
      </c>
      <c r="AS282" t="inlineStr">
        <is>
          <t>No</t>
        </is>
      </c>
      <c r="AU282">
        <f>HYPERLINK("https://creighton-primo.hosted.exlibrisgroup.com/primo-explore/search?tab=default_tab&amp;search_scope=EVERYTHING&amp;vid=01CRU&amp;lang=en_US&amp;offset=0&amp;query=any,contains,991003829979702656","Catalog Record")</f>
        <v/>
      </c>
      <c r="AV282">
        <f>HYPERLINK("http://www.worldcat.org/oclc/1918393","WorldCat Record")</f>
        <v/>
      </c>
      <c r="AW282" t="inlineStr">
        <is>
          <t>3943543463:spa</t>
        </is>
      </c>
      <c r="AX282" t="inlineStr">
        <is>
          <t>1918393</t>
        </is>
      </c>
      <c r="AY282" t="inlineStr">
        <is>
          <t>991003829979702656</t>
        </is>
      </c>
      <c r="AZ282" t="inlineStr">
        <is>
          <t>991003829979702656</t>
        </is>
      </c>
      <c r="BA282" t="inlineStr">
        <is>
          <t>2258849100002656</t>
        </is>
      </c>
      <c r="BB282" t="inlineStr">
        <is>
          <t>BOOK</t>
        </is>
      </c>
      <c r="BE282" t="inlineStr">
        <is>
          <t>32285004494281</t>
        </is>
      </c>
      <c r="BF282" t="inlineStr">
        <is>
          <t>893234644</t>
        </is>
      </c>
    </row>
    <row r="283">
      <c r="A283" t="inlineStr">
        <is>
          <t>No</t>
        </is>
      </c>
      <c r="B283" t="inlineStr">
        <is>
          <t>CURAL</t>
        </is>
      </c>
      <c r="C283" t="inlineStr">
        <is>
          <t>SHELVES</t>
        </is>
      </c>
      <c r="D283" t="inlineStr">
        <is>
          <t>BL50 .N39 1973</t>
        </is>
      </c>
      <c r="E283" t="inlineStr">
        <is>
          <t>0                      BL 0050000N  39          1973</t>
        </is>
      </c>
      <c r="F283" t="inlineStr">
        <is>
          <t>Religion for a new generation. [Edited by] Jacob Needleman, A. K. Bierman [and] James A. Gould.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M283" t="inlineStr">
        <is>
          <t>Needleman, Jacob compiler.</t>
        </is>
      </c>
      <c r="N283" t="inlineStr">
        <is>
          <t>New York, Macmillan [1973]</t>
        </is>
      </c>
      <c r="O283" t="inlineStr">
        <is>
          <t>1973</t>
        </is>
      </c>
      <c r="Q283" t="inlineStr">
        <is>
          <t>eng</t>
        </is>
      </c>
      <c r="R283" t="inlineStr">
        <is>
          <t>nyu</t>
        </is>
      </c>
      <c r="T283" t="inlineStr">
        <is>
          <t xml:space="preserve">BL </t>
        </is>
      </c>
      <c r="U283" t="n">
        <v>2</v>
      </c>
      <c r="V283" t="n">
        <v>2</v>
      </c>
      <c r="W283" t="inlineStr">
        <is>
          <t>1996-11-20</t>
        </is>
      </c>
      <c r="X283" t="inlineStr">
        <is>
          <t>1996-11-20</t>
        </is>
      </c>
      <c r="Y283" t="inlineStr">
        <is>
          <t>1990-09-25</t>
        </is>
      </c>
      <c r="Z283" t="inlineStr">
        <is>
          <t>1990-09-25</t>
        </is>
      </c>
      <c r="AA283" t="n">
        <v>485</v>
      </c>
      <c r="AB283" t="n">
        <v>422</v>
      </c>
      <c r="AC283" t="n">
        <v>616</v>
      </c>
      <c r="AD283" t="n">
        <v>4</v>
      </c>
      <c r="AE283" t="n">
        <v>6</v>
      </c>
      <c r="AF283" t="n">
        <v>25</v>
      </c>
      <c r="AG283" t="n">
        <v>34</v>
      </c>
      <c r="AH283" t="n">
        <v>7</v>
      </c>
      <c r="AI283" t="n">
        <v>11</v>
      </c>
      <c r="AJ283" t="n">
        <v>4</v>
      </c>
      <c r="AK283" t="n">
        <v>6</v>
      </c>
      <c r="AL283" t="n">
        <v>16</v>
      </c>
      <c r="AM283" t="n">
        <v>19</v>
      </c>
      <c r="AN283" t="n">
        <v>3</v>
      </c>
      <c r="AO283" t="n">
        <v>5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HYPERLINK("https://creighton-primo.hosted.exlibrisgroup.com/primo-explore/search?tab=default_tab&amp;search_scope=EVERYTHING&amp;vid=01CRU&amp;lang=en_US&amp;offset=0&amp;query=any,contains,991003024499702656","Catalog Record")</f>
        <v/>
      </c>
      <c r="AV283">
        <f>HYPERLINK("http://www.worldcat.org/oclc/588990","WorldCat Record")</f>
        <v/>
      </c>
      <c r="AW283" t="inlineStr">
        <is>
          <t>1764315:eng</t>
        </is>
      </c>
      <c r="AX283" t="inlineStr">
        <is>
          <t>588990</t>
        </is>
      </c>
      <c r="AY283" t="inlineStr">
        <is>
          <t>991003024499702656</t>
        </is>
      </c>
      <c r="AZ283" t="inlineStr">
        <is>
          <t>991003024499702656</t>
        </is>
      </c>
      <c r="BA283" t="inlineStr">
        <is>
          <t>2270038620002656</t>
        </is>
      </c>
      <c r="BB283" t="inlineStr">
        <is>
          <t>BOOK</t>
        </is>
      </c>
      <c r="BE283" t="inlineStr">
        <is>
          <t>32285000309244</t>
        </is>
      </c>
      <c r="BF283" t="inlineStr">
        <is>
          <t>893262599</t>
        </is>
      </c>
    </row>
    <row r="284">
      <c r="A284" t="inlineStr">
        <is>
          <t>No</t>
        </is>
      </c>
      <c r="B284" t="inlineStr">
        <is>
          <t>CURAL</t>
        </is>
      </c>
      <c r="C284" t="inlineStr">
        <is>
          <t>SHELVES</t>
        </is>
      </c>
      <c r="D284" t="inlineStr">
        <is>
          <t>BL50 .S578</t>
        </is>
      </c>
      <c r="E284" t="inlineStr">
        <is>
          <t>0                      BL 0050000S  578</t>
        </is>
      </c>
      <c r="F284" t="inlineStr">
        <is>
          <t>Imagining religion : from Babylonia to Jonestown / Jonathan Z. Smith.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Smith, Jonathan Z.</t>
        </is>
      </c>
      <c r="N284" t="inlineStr">
        <is>
          <t>Chicago : University of Chicago Press, 1982.</t>
        </is>
      </c>
      <c r="O284" t="inlineStr">
        <is>
          <t>1982</t>
        </is>
      </c>
      <c r="Q284" t="inlineStr">
        <is>
          <t>eng</t>
        </is>
      </c>
      <c r="R284" t="inlineStr">
        <is>
          <t>ilu</t>
        </is>
      </c>
      <c r="S284" t="inlineStr">
        <is>
          <t>Chicago studies in the history of Judaism</t>
        </is>
      </c>
      <c r="T284" t="inlineStr">
        <is>
          <t xml:space="preserve">BL </t>
        </is>
      </c>
      <c r="U284" t="n">
        <v>13</v>
      </c>
      <c r="V284" t="n">
        <v>13</v>
      </c>
      <c r="W284" t="inlineStr">
        <is>
          <t>2005-11-14</t>
        </is>
      </c>
      <c r="X284" t="inlineStr">
        <is>
          <t>2005-11-14</t>
        </is>
      </c>
      <c r="Y284" t="inlineStr">
        <is>
          <t>1990-03-20</t>
        </is>
      </c>
      <c r="Z284" t="inlineStr">
        <is>
          <t>1990-03-20</t>
        </is>
      </c>
      <c r="AA284" t="n">
        <v>714</v>
      </c>
      <c r="AB284" t="n">
        <v>582</v>
      </c>
      <c r="AC284" t="n">
        <v>610</v>
      </c>
      <c r="AD284" t="n">
        <v>5</v>
      </c>
      <c r="AE284" t="n">
        <v>5</v>
      </c>
      <c r="AF284" t="n">
        <v>31</v>
      </c>
      <c r="AG284" t="n">
        <v>33</v>
      </c>
      <c r="AH284" t="n">
        <v>12</v>
      </c>
      <c r="AI284" t="n">
        <v>13</v>
      </c>
      <c r="AJ284" t="n">
        <v>7</v>
      </c>
      <c r="AK284" t="n">
        <v>7</v>
      </c>
      <c r="AL284" t="n">
        <v>15</v>
      </c>
      <c r="AM284" t="n">
        <v>16</v>
      </c>
      <c r="AN284" t="n">
        <v>4</v>
      </c>
      <c r="AO284" t="n">
        <v>4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HYPERLINK("https://creighton-primo.hosted.exlibrisgroup.com/primo-explore/search?tab=default_tab&amp;search_scope=EVERYTHING&amp;vid=01CRU&amp;lang=en_US&amp;offset=0&amp;query=any,contains,991005225939702656","Catalog Record")</f>
        <v/>
      </c>
      <c r="AV284">
        <f>HYPERLINK("http://www.worldcat.org/oclc/8282276","WorldCat Record")</f>
        <v/>
      </c>
      <c r="AW284" t="inlineStr">
        <is>
          <t>889684761:eng</t>
        </is>
      </c>
      <c r="AX284" t="inlineStr">
        <is>
          <t>8282276</t>
        </is>
      </c>
      <c r="AY284" t="inlineStr">
        <is>
          <t>991005225939702656</t>
        </is>
      </c>
      <c r="AZ284" t="inlineStr">
        <is>
          <t>991005225939702656</t>
        </is>
      </c>
      <c r="BA284" t="inlineStr">
        <is>
          <t>2266612280002656</t>
        </is>
      </c>
      <c r="BB284" t="inlineStr">
        <is>
          <t>BOOK</t>
        </is>
      </c>
      <c r="BD284" t="inlineStr">
        <is>
          <t>9780226763583</t>
        </is>
      </c>
      <c r="BE284" t="inlineStr">
        <is>
          <t>32285000086891</t>
        </is>
      </c>
      <c r="BF284" t="inlineStr">
        <is>
          <t>893625660</t>
        </is>
      </c>
    </row>
    <row r="285">
      <c r="A285" t="inlineStr">
        <is>
          <t>No</t>
        </is>
      </c>
      <c r="B285" t="inlineStr">
        <is>
          <t>CURAL</t>
        </is>
      </c>
      <c r="C285" t="inlineStr">
        <is>
          <t>SHELVES</t>
        </is>
      </c>
      <c r="D285" t="inlineStr">
        <is>
          <t>BL50 .S58 1976</t>
        </is>
      </c>
      <c r="E285" t="inlineStr">
        <is>
          <t>0                      BL 0050000S  58          1976</t>
        </is>
      </c>
      <c r="F285" t="inlineStr">
        <is>
          <t>Religious diversity : essays / by Wilfred Cantwell Smith ; edited by Willard G. Oxtoby.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Smith, Wilfred Cantwell, 1916-2000.</t>
        </is>
      </c>
      <c r="N285" t="inlineStr">
        <is>
          <t>New York : Harper &amp; Row, c1976.</t>
        </is>
      </c>
      <c r="O285" t="inlineStr">
        <is>
          <t>1976</t>
        </is>
      </c>
      <c r="P285" t="inlineStr">
        <is>
          <t>1st ed.</t>
        </is>
      </c>
      <c r="Q285" t="inlineStr">
        <is>
          <t>eng</t>
        </is>
      </c>
      <c r="R285" t="inlineStr">
        <is>
          <t>nyu</t>
        </is>
      </c>
      <c r="S285" t="inlineStr">
        <is>
          <t>A Harper forum book</t>
        </is>
      </c>
      <c r="T285" t="inlineStr">
        <is>
          <t xml:space="preserve">BL </t>
        </is>
      </c>
      <c r="U285" t="n">
        <v>11</v>
      </c>
      <c r="V285" t="n">
        <v>11</v>
      </c>
      <c r="W285" t="inlineStr">
        <is>
          <t>2001-12-01</t>
        </is>
      </c>
      <c r="X285" t="inlineStr">
        <is>
          <t>2001-12-01</t>
        </is>
      </c>
      <c r="Y285" t="inlineStr">
        <is>
          <t>1990-09-25</t>
        </is>
      </c>
      <c r="Z285" t="inlineStr">
        <is>
          <t>1990-09-25</t>
        </is>
      </c>
      <c r="AA285" t="n">
        <v>546</v>
      </c>
      <c r="AB285" t="n">
        <v>457</v>
      </c>
      <c r="AC285" t="n">
        <v>458</v>
      </c>
      <c r="AD285" t="n">
        <v>3</v>
      </c>
      <c r="AE285" t="n">
        <v>3</v>
      </c>
      <c r="AF285" t="n">
        <v>23</v>
      </c>
      <c r="AG285" t="n">
        <v>23</v>
      </c>
      <c r="AH285" t="n">
        <v>6</v>
      </c>
      <c r="AI285" t="n">
        <v>6</v>
      </c>
      <c r="AJ285" t="n">
        <v>6</v>
      </c>
      <c r="AK285" t="n">
        <v>6</v>
      </c>
      <c r="AL285" t="n">
        <v>15</v>
      </c>
      <c r="AM285" t="n">
        <v>15</v>
      </c>
      <c r="AN285" t="n">
        <v>2</v>
      </c>
      <c r="AO285" t="n">
        <v>2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HYPERLINK("http://catalog.hathitrust.org/Record/009907285","HathiTrust Record")</f>
        <v/>
      </c>
      <c r="AU285">
        <f>HYPERLINK("https://creighton-primo.hosted.exlibrisgroup.com/primo-explore/search?tab=default_tab&amp;search_scope=EVERYTHING&amp;vid=01CRU&amp;lang=en_US&amp;offset=0&amp;query=any,contains,991004091769702656","Catalog Record")</f>
        <v/>
      </c>
      <c r="AV285">
        <f>HYPERLINK("http://www.worldcat.org/oclc/2346038","WorldCat Record")</f>
        <v/>
      </c>
      <c r="AW285" t="inlineStr">
        <is>
          <t>889945915:eng</t>
        </is>
      </c>
      <c r="AX285" t="inlineStr">
        <is>
          <t>2346038</t>
        </is>
      </c>
      <c r="AY285" t="inlineStr">
        <is>
          <t>991004091769702656</t>
        </is>
      </c>
      <c r="AZ285" t="inlineStr">
        <is>
          <t>991004091769702656</t>
        </is>
      </c>
      <c r="BA285" t="inlineStr">
        <is>
          <t>2260855840002656</t>
        </is>
      </c>
      <c r="BB285" t="inlineStr">
        <is>
          <t>BOOK</t>
        </is>
      </c>
      <c r="BD285" t="inlineStr">
        <is>
          <t>9780060674632</t>
        </is>
      </c>
      <c r="BE285" t="inlineStr">
        <is>
          <t>32285000309277</t>
        </is>
      </c>
      <c r="BF285" t="inlineStr">
        <is>
          <t>893247144</t>
        </is>
      </c>
    </row>
    <row r="286">
      <c r="A286" t="inlineStr">
        <is>
          <t>No</t>
        </is>
      </c>
      <c r="B286" t="inlineStr">
        <is>
          <t>CURAL</t>
        </is>
      </c>
      <c r="C286" t="inlineStr">
        <is>
          <t>SHELVES</t>
        </is>
      </c>
      <c r="D286" t="inlineStr">
        <is>
          <t>BL50 .W324</t>
        </is>
      </c>
      <c r="E286" t="inlineStr">
        <is>
          <t>0                      BL 0050000W  324</t>
        </is>
      </c>
      <c r="F286" t="inlineStr">
        <is>
          <t>Types of religious experience, Christian and non-Christian, by Joachim Wach.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Wach, Joachim, 1898-1955.</t>
        </is>
      </c>
      <c r="N286" t="inlineStr">
        <is>
          <t>Chicago, University of Chicago Press [1951]</t>
        </is>
      </c>
      <c r="O286" t="inlineStr">
        <is>
          <t>1951</t>
        </is>
      </c>
      <c r="Q286" t="inlineStr">
        <is>
          <t>eng</t>
        </is>
      </c>
      <c r="R286" t="inlineStr">
        <is>
          <t>___</t>
        </is>
      </c>
      <c r="T286" t="inlineStr">
        <is>
          <t xml:space="preserve">BL </t>
        </is>
      </c>
      <c r="U286" t="n">
        <v>4</v>
      </c>
      <c r="V286" t="n">
        <v>4</v>
      </c>
      <c r="W286" t="inlineStr">
        <is>
          <t>1993-09-08</t>
        </is>
      </c>
      <c r="X286" t="inlineStr">
        <is>
          <t>1993-09-08</t>
        </is>
      </c>
      <c r="Y286" t="inlineStr">
        <is>
          <t>1990-09-25</t>
        </is>
      </c>
      <c r="Z286" t="inlineStr">
        <is>
          <t>1990-09-25</t>
        </is>
      </c>
      <c r="AA286" t="n">
        <v>751</v>
      </c>
      <c r="AB286" t="n">
        <v>674</v>
      </c>
      <c r="AC286" t="n">
        <v>840</v>
      </c>
      <c r="AD286" t="n">
        <v>3</v>
      </c>
      <c r="AE286" t="n">
        <v>4</v>
      </c>
      <c r="AF286" t="n">
        <v>32</v>
      </c>
      <c r="AG286" t="n">
        <v>41</v>
      </c>
      <c r="AH286" t="n">
        <v>14</v>
      </c>
      <c r="AI286" t="n">
        <v>16</v>
      </c>
      <c r="AJ286" t="n">
        <v>8</v>
      </c>
      <c r="AK286" t="n">
        <v>9</v>
      </c>
      <c r="AL286" t="n">
        <v>15</v>
      </c>
      <c r="AM286" t="n">
        <v>23</v>
      </c>
      <c r="AN286" t="n">
        <v>2</v>
      </c>
      <c r="AO286" t="n">
        <v>3</v>
      </c>
      <c r="AP286" t="n">
        <v>0</v>
      </c>
      <c r="AQ286" t="n">
        <v>0</v>
      </c>
      <c r="AR286" t="inlineStr">
        <is>
          <t>No</t>
        </is>
      </c>
      <c r="AS286" t="inlineStr">
        <is>
          <t>Yes</t>
        </is>
      </c>
      <c r="AT286">
        <f>HYPERLINK("http://catalog.hathitrust.org/Record/001391036","HathiTrust Record")</f>
        <v/>
      </c>
      <c r="AU286">
        <f>HYPERLINK("https://creighton-primo.hosted.exlibrisgroup.com/primo-explore/search?tab=default_tab&amp;search_scope=EVERYTHING&amp;vid=01CRU&amp;lang=en_US&amp;offset=0&amp;query=any,contains,991002573779702656","Catalog Record")</f>
        <v/>
      </c>
      <c r="AV286">
        <f>HYPERLINK("http://www.worldcat.org/oclc/374395","WorldCat Record")</f>
        <v/>
      </c>
      <c r="AW286" t="inlineStr">
        <is>
          <t>1412743:eng</t>
        </is>
      </c>
      <c r="AX286" t="inlineStr">
        <is>
          <t>374395</t>
        </is>
      </c>
      <c r="AY286" t="inlineStr">
        <is>
          <t>991002573779702656</t>
        </is>
      </c>
      <c r="AZ286" t="inlineStr">
        <is>
          <t>991002573779702656</t>
        </is>
      </c>
      <c r="BA286" t="inlineStr">
        <is>
          <t>2262311750002656</t>
        </is>
      </c>
      <c r="BB286" t="inlineStr">
        <is>
          <t>BOOK</t>
        </is>
      </c>
      <c r="BE286" t="inlineStr">
        <is>
          <t>32285000309285</t>
        </is>
      </c>
      <c r="BF286" t="inlineStr">
        <is>
          <t>893710444</t>
        </is>
      </c>
    </row>
    <row r="287">
      <c r="A287" t="inlineStr">
        <is>
          <t>No</t>
        </is>
      </c>
      <c r="B287" t="inlineStr">
        <is>
          <t>CURAL</t>
        </is>
      </c>
      <c r="C287" t="inlineStr">
        <is>
          <t>SHELVES</t>
        </is>
      </c>
      <c r="D287" t="inlineStr">
        <is>
          <t>BL501 .M45 1992</t>
        </is>
      </c>
      <c r="E287" t="inlineStr">
        <is>
          <t>0                      BL 0501000M  45          1992</t>
        </is>
      </c>
      <c r="F287" t="inlineStr">
        <is>
          <t>Vision and violence / Arthur P. Mendel.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Mendel, Arthur P.</t>
        </is>
      </c>
      <c r="N287" t="inlineStr">
        <is>
          <t>Ann Arbor : University of Michigan Press, c1992.</t>
        </is>
      </c>
      <c r="O287" t="inlineStr">
        <is>
          <t>1992</t>
        </is>
      </c>
      <c r="Q287" t="inlineStr">
        <is>
          <t>eng</t>
        </is>
      </c>
      <c r="R287" t="inlineStr">
        <is>
          <t>miu</t>
        </is>
      </c>
      <c r="T287" t="inlineStr">
        <is>
          <t xml:space="preserve">BL </t>
        </is>
      </c>
      <c r="U287" t="n">
        <v>2</v>
      </c>
      <c r="V287" t="n">
        <v>2</v>
      </c>
      <c r="W287" t="inlineStr">
        <is>
          <t>1996-04-17</t>
        </is>
      </c>
      <c r="X287" t="inlineStr">
        <is>
          <t>1996-04-17</t>
        </is>
      </c>
      <c r="Y287" t="inlineStr">
        <is>
          <t>1995-12-27</t>
        </is>
      </c>
      <c r="Z287" t="inlineStr">
        <is>
          <t>1995-12-27</t>
        </is>
      </c>
      <c r="AA287" t="n">
        <v>270</v>
      </c>
      <c r="AB287" t="n">
        <v>236</v>
      </c>
      <c r="AC287" t="n">
        <v>280</v>
      </c>
      <c r="AD287" t="n">
        <v>2</v>
      </c>
      <c r="AE287" t="n">
        <v>2</v>
      </c>
      <c r="AF287" t="n">
        <v>18</v>
      </c>
      <c r="AG287" t="n">
        <v>19</v>
      </c>
      <c r="AH287" t="n">
        <v>6</v>
      </c>
      <c r="AI287" t="n">
        <v>7</v>
      </c>
      <c r="AJ287" t="n">
        <v>5</v>
      </c>
      <c r="AK287" t="n">
        <v>5</v>
      </c>
      <c r="AL287" t="n">
        <v>11</v>
      </c>
      <c r="AM287" t="n">
        <v>11</v>
      </c>
      <c r="AN287" t="n">
        <v>1</v>
      </c>
      <c r="AO287" t="n">
        <v>1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HYPERLINK("http://catalog.hathitrust.org/Record/002586109","HathiTrust Record")</f>
        <v/>
      </c>
      <c r="AU287">
        <f>HYPERLINK("https://creighton-primo.hosted.exlibrisgroup.com/primo-explore/search?tab=default_tab&amp;search_scope=EVERYTHING&amp;vid=01CRU&amp;lang=en_US&amp;offset=0&amp;query=any,contains,991002010919702656","Catalog Record")</f>
        <v/>
      </c>
      <c r="AV287">
        <f>HYPERLINK("http://www.worldcat.org/oclc/25552714","WorldCat Record")</f>
        <v/>
      </c>
      <c r="AW287" t="inlineStr">
        <is>
          <t>27647744:eng</t>
        </is>
      </c>
      <c r="AX287" t="inlineStr">
        <is>
          <t>25552714</t>
        </is>
      </c>
      <c r="AY287" t="inlineStr">
        <is>
          <t>991002010919702656</t>
        </is>
      </c>
      <c r="AZ287" t="inlineStr">
        <is>
          <t>991002010919702656</t>
        </is>
      </c>
      <c r="BA287" t="inlineStr">
        <is>
          <t>2272518270002656</t>
        </is>
      </c>
      <c r="BB287" t="inlineStr">
        <is>
          <t>BOOK</t>
        </is>
      </c>
      <c r="BD287" t="inlineStr">
        <is>
          <t>9780472102754</t>
        </is>
      </c>
      <c r="BE287" t="inlineStr">
        <is>
          <t>32285002112760</t>
        </is>
      </c>
      <c r="BF287" t="inlineStr">
        <is>
          <t>893322469</t>
        </is>
      </c>
    </row>
    <row r="288">
      <c r="A288" t="inlineStr">
        <is>
          <t>No</t>
        </is>
      </c>
      <c r="B288" t="inlineStr">
        <is>
          <t>CURAL</t>
        </is>
      </c>
      <c r="C288" t="inlineStr">
        <is>
          <t>SHELVES</t>
        </is>
      </c>
      <c r="D288" t="inlineStr">
        <is>
          <t>BL51 .B54</t>
        </is>
      </c>
      <c r="E288" t="inlineStr">
        <is>
          <t>0                      BL 0051000B  54</t>
        </is>
      </c>
      <c r="F288" t="inlineStr">
        <is>
          <t>Introduction to the philosophy of religion.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Bertocci, Peter Anthony.</t>
        </is>
      </c>
      <c r="N288" t="inlineStr">
        <is>
          <t>New York, Prentice-Hall, 1951.</t>
        </is>
      </c>
      <c r="O288" t="inlineStr">
        <is>
          <t>1951</t>
        </is>
      </c>
      <c r="Q288" t="inlineStr">
        <is>
          <t>eng</t>
        </is>
      </c>
      <c r="R288" t="inlineStr">
        <is>
          <t>___</t>
        </is>
      </c>
      <c r="S288" t="inlineStr">
        <is>
          <t>Prentice-Hall philosophy series</t>
        </is>
      </c>
      <c r="T288" t="inlineStr">
        <is>
          <t xml:space="preserve">BL </t>
        </is>
      </c>
      <c r="U288" t="n">
        <v>3</v>
      </c>
      <c r="V288" t="n">
        <v>3</v>
      </c>
      <c r="W288" t="inlineStr">
        <is>
          <t>1997-08-05</t>
        </is>
      </c>
      <c r="X288" t="inlineStr">
        <is>
          <t>1997-08-05</t>
        </is>
      </c>
      <c r="Y288" t="inlineStr">
        <is>
          <t>1990-09-25</t>
        </is>
      </c>
      <c r="Z288" t="inlineStr">
        <is>
          <t>1990-09-25</t>
        </is>
      </c>
      <c r="AA288" t="n">
        <v>580</v>
      </c>
      <c r="AB288" t="n">
        <v>532</v>
      </c>
      <c r="AC288" t="n">
        <v>566</v>
      </c>
      <c r="AD288" t="n">
        <v>3</v>
      </c>
      <c r="AE288" t="n">
        <v>4</v>
      </c>
      <c r="AF288" t="n">
        <v>23</v>
      </c>
      <c r="AG288" t="n">
        <v>23</v>
      </c>
      <c r="AH288" t="n">
        <v>11</v>
      </c>
      <c r="AI288" t="n">
        <v>11</v>
      </c>
      <c r="AJ288" t="n">
        <v>3</v>
      </c>
      <c r="AK288" t="n">
        <v>3</v>
      </c>
      <c r="AL288" t="n">
        <v>11</v>
      </c>
      <c r="AM288" t="n">
        <v>11</v>
      </c>
      <c r="AN288" t="n">
        <v>2</v>
      </c>
      <c r="AO288" t="n">
        <v>2</v>
      </c>
      <c r="AP288" t="n">
        <v>0</v>
      </c>
      <c r="AQ288" t="n">
        <v>0</v>
      </c>
      <c r="AR288" t="inlineStr">
        <is>
          <t>Yes</t>
        </is>
      </c>
      <c r="AS288" t="inlineStr">
        <is>
          <t>No</t>
        </is>
      </c>
      <c r="AT288">
        <f>HYPERLINK("http://catalog.hathitrust.org/Record/001391191","HathiTrust Record")</f>
        <v/>
      </c>
      <c r="AU288">
        <f>HYPERLINK("https://creighton-primo.hosted.exlibrisgroup.com/primo-explore/search?tab=default_tab&amp;search_scope=EVERYTHING&amp;vid=01CRU&amp;lang=en_US&amp;offset=0&amp;query=any,contains,991002327519702656","Catalog Record")</f>
        <v/>
      </c>
      <c r="AV288">
        <f>HYPERLINK("http://www.worldcat.org/oclc/321221","WorldCat Record")</f>
        <v/>
      </c>
      <c r="AW288" t="inlineStr">
        <is>
          <t>1401472:eng</t>
        </is>
      </c>
      <c r="AX288" t="inlineStr">
        <is>
          <t>321221</t>
        </is>
      </c>
      <c r="AY288" t="inlineStr">
        <is>
          <t>991002327519702656</t>
        </is>
      </c>
      <c r="AZ288" t="inlineStr">
        <is>
          <t>991002327519702656</t>
        </is>
      </c>
      <c r="BA288" t="inlineStr">
        <is>
          <t>2256116060002656</t>
        </is>
      </c>
      <c r="BB288" t="inlineStr">
        <is>
          <t>BOOK</t>
        </is>
      </c>
      <c r="BE288" t="inlineStr">
        <is>
          <t>32285000309301</t>
        </is>
      </c>
      <c r="BF288" t="inlineStr">
        <is>
          <t>893873375</t>
        </is>
      </c>
    </row>
    <row r="289">
      <c r="A289" t="inlineStr">
        <is>
          <t>No</t>
        </is>
      </c>
      <c r="B289" t="inlineStr">
        <is>
          <t>CURAL</t>
        </is>
      </c>
      <c r="C289" t="inlineStr">
        <is>
          <t>SHELVES</t>
        </is>
      </c>
      <c r="D289" t="inlineStr">
        <is>
          <t>BL51 .B543</t>
        </is>
      </c>
      <c r="E289" t="inlineStr">
        <is>
          <t>0                      BL 0051000B  543</t>
        </is>
      </c>
      <c r="F289" t="inlineStr">
        <is>
          <t>Religion as creative insecurity.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Bertocci, Peter Anthony.</t>
        </is>
      </c>
      <c r="N289" t="inlineStr">
        <is>
          <t>New York, Association Press [1958]</t>
        </is>
      </c>
      <c r="O289" t="inlineStr">
        <is>
          <t>1958</t>
        </is>
      </c>
      <c r="Q289" t="inlineStr">
        <is>
          <t>eng</t>
        </is>
      </c>
      <c r="R289" t="inlineStr">
        <is>
          <t>nyu</t>
        </is>
      </c>
      <c r="T289" t="inlineStr">
        <is>
          <t xml:space="preserve">BL </t>
        </is>
      </c>
      <c r="U289" t="n">
        <v>7</v>
      </c>
      <c r="V289" t="n">
        <v>7</v>
      </c>
      <c r="W289" t="inlineStr">
        <is>
          <t>1998-01-20</t>
        </is>
      </c>
      <c r="X289" t="inlineStr">
        <is>
          <t>1998-01-20</t>
        </is>
      </c>
      <c r="Y289" t="inlineStr">
        <is>
          <t>1990-09-25</t>
        </is>
      </c>
      <c r="Z289" t="inlineStr">
        <is>
          <t>1990-09-25</t>
        </is>
      </c>
      <c r="AA289" t="n">
        <v>387</v>
      </c>
      <c r="AB289" t="n">
        <v>368</v>
      </c>
      <c r="AC289" t="n">
        <v>480</v>
      </c>
      <c r="AD289" t="n">
        <v>2</v>
      </c>
      <c r="AE289" t="n">
        <v>2</v>
      </c>
      <c r="AF289" t="n">
        <v>8</v>
      </c>
      <c r="AG289" t="n">
        <v>16</v>
      </c>
      <c r="AH289" t="n">
        <v>4</v>
      </c>
      <c r="AI289" t="n">
        <v>7</v>
      </c>
      <c r="AJ289" t="n">
        <v>1</v>
      </c>
      <c r="AK289" t="n">
        <v>3</v>
      </c>
      <c r="AL289" t="n">
        <v>5</v>
      </c>
      <c r="AM289" t="n">
        <v>10</v>
      </c>
      <c r="AN289" t="n">
        <v>1</v>
      </c>
      <c r="AO289" t="n">
        <v>1</v>
      </c>
      <c r="AP289" t="n">
        <v>0</v>
      </c>
      <c r="AQ289" t="n">
        <v>0</v>
      </c>
      <c r="AR289" t="inlineStr">
        <is>
          <t>Yes</t>
        </is>
      </c>
      <c r="AS289" t="inlineStr">
        <is>
          <t>No</t>
        </is>
      </c>
      <c r="AT289">
        <f>HYPERLINK("http://catalog.hathitrust.org/Record/001391192","HathiTrust Record")</f>
        <v/>
      </c>
      <c r="AU289">
        <f>HYPERLINK("https://creighton-primo.hosted.exlibrisgroup.com/primo-explore/search?tab=default_tab&amp;search_scope=EVERYTHING&amp;vid=01CRU&amp;lang=en_US&amp;offset=0&amp;query=any,contains,991003175479702656","Catalog Record")</f>
        <v/>
      </c>
      <c r="AV289">
        <f>HYPERLINK("http://www.worldcat.org/oclc/710655","WorldCat Record")</f>
        <v/>
      </c>
      <c r="AW289" t="inlineStr">
        <is>
          <t>500713:eng</t>
        </is>
      </c>
      <c r="AX289" t="inlineStr">
        <is>
          <t>710655</t>
        </is>
      </c>
      <c r="AY289" t="inlineStr">
        <is>
          <t>991003175479702656</t>
        </is>
      </c>
      <c r="AZ289" t="inlineStr">
        <is>
          <t>991003175479702656</t>
        </is>
      </c>
      <c r="BA289" t="inlineStr">
        <is>
          <t>2262494610002656</t>
        </is>
      </c>
      <c r="BB289" t="inlineStr">
        <is>
          <t>BOOK</t>
        </is>
      </c>
      <c r="BE289" t="inlineStr">
        <is>
          <t>32285000309327</t>
        </is>
      </c>
      <c r="BF289" t="inlineStr">
        <is>
          <t>893524504</t>
        </is>
      </c>
    </row>
    <row r="290">
      <c r="A290" t="inlineStr">
        <is>
          <t>No</t>
        </is>
      </c>
      <c r="B290" t="inlineStr">
        <is>
          <t>CURAL</t>
        </is>
      </c>
      <c r="C290" t="inlineStr">
        <is>
          <t>SHELVES</t>
        </is>
      </c>
      <c r="D290" t="inlineStr">
        <is>
          <t>BL51 .B584</t>
        </is>
      </c>
      <c r="E290" t="inlineStr">
        <is>
          <t>0                      BL 0051000B  584</t>
        </is>
      </c>
      <c r="F290" t="inlineStr">
        <is>
          <t>The problem of religious knowledge; the impact of philosophical analysis on the question of religious knowledge.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Blackstone, William T.</t>
        </is>
      </c>
      <c r="N290" t="inlineStr">
        <is>
          <t>Englewood Cliffs, N. J., Prentice-Hall [1963]</t>
        </is>
      </c>
      <c r="O290" t="inlineStr">
        <is>
          <t>1963</t>
        </is>
      </c>
      <c r="Q290" t="inlineStr">
        <is>
          <t>eng</t>
        </is>
      </c>
      <c r="R290" t="inlineStr">
        <is>
          <t>___</t>
        </is>
      </c>
      <c r="S290" t="inlineStr">
        <is>
          <t>A Spectrum book.</t>
        </is>
      </c>
      <c r="T290" t="inlineStr">
        <is>
          <t xml:space="preserve">BL </t>
        </is>
      </c>
      <c r="U290" t="n">
        <v>9</v>
      </c>
      <c r="V290" t="n">
        <v>9</v>
      </c>
      <c r="W290" t="inlineStr">
        <is>
          <t>2000-09-13</t>
        </is>
      </c>
      <c r="X290" t="inlineStr">
        <is>
          <t>2000-09-13</t>
        </is>
      </c>
      <c r="Y290" t="inlineStr">
        <is>
          <t>1990-09-25</t>
        </is>
      </c>
      <c r="Z290" t="inlineStr">
        <is>
          <t>1990-09-25</t>
        </is>
      </c>
      <c r="AA290" t="n">
        <v>491</v>
      </c>
      <c r="AB290" t="n">
        <v>421</v>
      </c>
      <c r="AC290" t="n">
        <v>422</v>
      </c>
      <c r="AD290" t="n">
        <v>4</v>
      </c>
      <c r="AE290" t="n">
        <v>4</v>
      </c>
      <c r="AF290" t="n">
        <v>22</v>
      </c>
      <c r="AG290" t="n">
        <v>22</v>
      </c>
      <c r="AH290" t="n">
        <v>10</v>
      </c>
      <c r="AI290" t="n">
        <v>10</v>
      </c>
      <c r="AJ290" t="n">
        <v>5</v>
      </c>
      <c r="AK290" t="n">
        <v>5</v>
      </c>
      <c r="AL290" t="n">
        <v>14</v>
      </c>
      <c r="AM290" t="n">
        <v>14</v>
      </c>
      <c r="AN290" t="n">
        <v>2</v>
      </c>
      <c r="AO290" t="n">
        <v>2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HYPERLINK("http://catalog.hathitrust.org/Record/001391194","HathiTrust Record")</f>
        <v/>
      </c>
      <c r="AU290">
        <f>HYPERLINK("https://creighton-primo.hosted.exlibrisgroup.com/primo-explore/search?tab=default_tab&amp;search_scope=EVERYTHING&amp;vid=01CRU&amp;lang=en_US&amp;offset=0&amp;query=any,contains,991001365969702656","Catalog Record")</f>
        <v/>
      </c>
      <c r="AV290">
        <f>HYPERLINK("http://www.worldcat.org/oclc/222545","WorldCat Record")</f>
        <v/>
      </c>
      <c r="AW290" t="inlineStr">
        <is>
          <t>198832086:eng</t>
        </is>
      </c>
      <c r="AX290" t="inlineStr">
        <is>
          <t>222545</t>
        </is>
      </c>
      <c r="AY290" t="inlineStr">
        <is>
          <t>991001365969702656</t>
        </is>
      </c>
      <c r="AZ290" t="inlineStr">
        <is>
          <t>991001365969702656</t>
        </is>
      </c>
      <c r="BA290" t="inlineStr">
        <is>
          <t>2262205310002656</t>
        </is>
      </c>
      <c r="BB290" t="inlineStr">
        <is>
          <t>BOOK</t>
        </is>
      </c>
      <c r="BE290" t="inlineStr">
        <is>
          <t>32285000309350</t>
        </is>
      </c>
      <c r="BF290" t="inlineStr">
        <is>
          <t>893414190</t>
        </is>
      </c>
    </row>
    <row r="291">
      <c r="A291" t="inlineStr">
        <is>
          <t>No</t>
        </is>
      </c>
      <c r="B291" t="inlineStr">
        <is>
          <t>CURAL</t>
        </is>
      </c>
      <c r="C291" t="inlineStr">
        <is>
          <t>SHELVES</t>
        </is>
      </c>
      <c r="D291" t="inlineStr">
        <is>
          <t>BL51 .B683</t>
        </is>
      </c>
      <c r="E291" t="inlineStr">
        <is>
          <t>0                      BL 0051000B  683</t>
        </is>
      </c>
      <c r="F291" t="inlineStr">
        <is>
          <t>The seeing eye : hermeneutical phenomenology in the study of religion / Walter L. Brenneman, Jr., Stanley O. Yarian ; in association with Alan M. Olson.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Brenneman, Walter L.</t>
        </is>
      </c>
      <c r="N291" t="inlineStr">
        <is>
          <t>University Park : Pennsylvania State University Press, c1982.</t>
        </is>
      </c>
      <c r="O291" t="inlineStr">
        <is>
          <t>1982</t>
        </is>
      </c>
      <c r="Q291" t="inlineStr">
        <is>
          <t>eng</t>
        </is>
      </c>
      <c r="R291" t="inlineStr">
        <is>
          <t>pau</t>
        </is>
      </c>
      <c r="T291" t="inlineStr">
        <is>
          <t xml:space="preserve">BL </t>
        </is>
      </c>
      <c r="U291" t="n">
        <v>2</v>
      </c>
      <c r="V291" t="n">
        <v>2</v>
      </c>
      <c r="W291" t="inlineStr">
        <is>
          <t>2002-04-03</t>
        </is>
      </c>
      <c r="X291" t="inlineStr">
        <is>
          <t>2002-04-03</t>
        </is>
      </c>
      <c r="Y291" t="inlineStr">
        <is>
          <t>1990-05-18</t>
        </is>
      </c>
      <c r="Z291" t="inlineStr">
        <is>
          <t>1990-05-18</t>
        </is>
      </c>
      <c r="AA291" t="n">
        <v>372</v>
      </c>
      <c r="AB291" t="n">
        <v>315</v>
      </c>
      <c r="AC291" t="n">
        <v>317</v>
      </c>
      <c r="AD291" t="n">
        <v>4</v>
      </c>
      <c r="AE291" t="n">
        <v>4</v>
      </c>
      <c r="AF291" t="n">
        <v>17</v>
      </c>
      <c r="AG291" t="n">
        <v>17</v>
      </c>
      <c r="AH291" t="n">
        <v>2</v>
      </c>
      <c r="AI291" t="n">
        <v>2</v>
      </c>
      <c r="AJ291" t="n">
        <v>5</v>
      </c>
      <c r="AK291" t="n">
        <v>5</v>
      </c>
      <c r="AL291" t="n">
        <v>12</v>
      </c>
      <c r="AM291" t="n">
        <v>12</v>
      </c>
      <c r="AN291" t="n">
        <v>3</v>
      </c>
      <c r="AO291" t="n">
        <v>3</v>
      </c>
      <c r="AP291" t="n">
        <v>0</v>
      </c>
      <c r="AQ291" t="n">
        <v>0</v>
      </c>
      <c r="AR291" t="inlineStr">
        <is>
          <t>No</t>
        </is>
      </c>
      <c r="AS291" t="inlineStr">
        <is>
          <t>Yes</t>
        </is>
      </c>
      <c r="AT291">
        <f>HYPERLINK("http://catalog.hathitrust.org/Record/000763780","HathiTrust Record")</f>
        <v/>
      </c>
      <c r="AU291">
        <f>HYPERLINK("https://creighton-primo.hosted.exlibrisgroup.com/primo-explore/search?tab=default_tab&amp;search_scope=EVERYTHING&amp;vid=01CRU&amp;lang=en_US&amp;offset=0&amp;query=any,contains,991005218309702656","Catalog Record")</f>
        <v/>
      </c>
      <c r="AV291">
        <f>HYPERLINK("http://www.worldcat.org/oclc/8205032","WorldCat Record")</f>
        <v/>
      </c>
      <c r="AW291" t="inlineStr">
        <is>
          <t>836685966:eng</t>
        </is>
      </c>
      <c r="AX291" t="inlineStr">
        <is>
          <t>8205032</t>
        </is>
      </c>
      <c r="AY291" t="inlineStr">
        <is>
          <t>991005218309702656</t>
        </is>
      </c>
      <c r="AZ291" t="inlineStr">
        <is>
          <t>991005218309702656</t>
        </is>
      </c>
      <c r="BA291" t="inlineStr">
        <is>
          <t>2259322640002656</t>
        </is>
      </c>
      <c r="BB291" t="inlineStr">
        <is>
          <t>BOOK</t>
        </is>
      </c>
      <c r="BD291" t="inlineStr">
        <is>
          <t>9780271002910</t>
        </is>
      </c>
      <c r="BE291" t="inlineStr">
        <is>
          <t>32285000153634</t>
        </is>
      </c>
      <c r="BF291" t="inlineStr">
        <is>
          <t>893533381</t>
        </is>
      </c>
    </row>
    <row r="292">
      <c r="A292" t="inlineStr">
        <is>
          <t>No</t>
        </is>
      </c>
      <c r="B292" t="inlineStr">
        <is>
          <t>CURAL</t>
        </is>
      </c>
      <c r="C292" t="inlineStr">
        <is>
          <t>SHELVES</t>
        </is>
      </c>
      <c r="D292" t="inlineStr">
        <is>
          <t>BL51 .B689</t>
        </is>
      </c>
      <c r="E292" t="inlineStr">
        <is>
          <t>0                      BL 0051000B  689</t>
        </is>
      </c>
      <c r="F292" t="inlineStr">
        <is>
          <t>A philosophy of religion, by Edgar Sheffield Brightman...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Brightman, Edgar Sheffield, 1884-1953.</t>
        </is>
      </c>
      <c r="N292" t="inlineStr">
        <is>
          <t>New York, Prentice-Hall, inc., c1940</t>
        </is>
      </c>
      <c r="O292" t="inlineStr">
        <is>
          <t>1940</t>
        </is>
      </c>
      <c r="Q292" t="inlineStr">
        <is>
          <t>eng</t>
        </is>
      </c>
      <c r="R292" t="inlineStr">
        <is>
          <t>___</t>
        </is>
      </c>
      <c r="S292" t="inlineStr">
        <is>
          <t>Prentice-Hall philosophy series; A. E. Murphy, PH.D., editor</t>
        </is>
      </c>
      <c r="T292" t="inlineStr">
        <is>
          <t xml:space="preserve">BL </t>
        </is>
      </c>
      <c r="U292" t="n">
        <v>3</v>
      </c>
      <c r="V292" t="n">
        <v>3</v>
      </c>
      <c r="W292" t="inlineStr">
        <is>
          <t>2004-11-21</t>
        </is>
      </c>
      <c r="X292" t="inlineStr">
        <is>
          <t>2004-11-21</t>
        </is>
      </c>
      <c r="Y292" t="inlineStr">
        <is>
          <t>1990-09-25</t>
        </is>
      </c>
      <c r="Z292" t="inlineStr">
        <is>
          <t>1990-09-25</t>
        </is>
      </c>
      <c r="AA292" t="n">
        <v>600</v>
      </c>
      <c r="AB292" t="n">
        <v>555</v>
      </c>
      <c r="AC292" t="n">
        <v>770</v>
      </c>
      <c r="AD292" t="n">
        <v>6</v>
      </c>
      <c r="AE292" t="n">
        <v>7</v>
      </c>
      <c r="AF292" t="n">
        <v>25</v>
      </c>
      <c r="AG292" t="n">
        <v>34</v>
      </c>
      <c r="AH292" t="n">
        <v>10</v>
      </c>
      <c r="AI292" t="n">
        <v>14</v>
      </c>
      <c r="AJ292" t="n">
        <v>4</v>
      </c>
      <c r="AK292" t="n">
        <v>7</v>
      </c>
      <c r="AL292" t="n">
        <v>12</v>
      </c>
      <c r="AM292" t="n">
        <v>17</v>
      </c>
      <c r="AN292" t="n">
        <v>5</v>
      </c>
      <c r="AO292" t="n">
        <v>5</v>
      </c>
      <c r="AP292" t="n">
        <v>0</v>
      </c>
      <c r="AQ292" t="n">
        <v>0</v>
      </c>
      <c r="AR292" t="inlineStr">
        <is>
          <t>Yes</t>
        </is>
      </c>
      <c r="AS292" t="inlineStr">
        <is>
          <t>No</t>
        </is>
      </c>
      <c r="AT292">
        <f>HYPERLINK("http://catalog.hathitrust.org/Record/001391202","HathiTrust Record")</f>
        <v/>
      </c>
      <c r="AU292">
        <f>HYPERLINK("https://creighton-primo.hosted.exlibrisgroup.com/primo-explore/search?tab=default_tab&amp;search_scope=EVERYTHING&amp;vid=01CRU&amp;lang=en_US&amp;offset=0&amp;query=any,contains,991002258989702656","Catalog Record")</f>
        <v/>
      </c>
      <c r="AV292">
        <f>HYPERLINK("http://www.worldcat.org/oclc/303323","WorldCat Record")</f>
        <v/>
      </c>
      <c r="AW292" t="inlineStr">
        <is>
          <t>499678:eng</t>
        </is>
      </c>
      <c r="AX292" t="inlineStr">
        <is>
          <t>303323</t>
        </is>
      </c>
      <c r="AY292" t="inlineStr">
        <is>
          <t>991002258989702656</t>
        </is>
      </c>
      <c r="AZ292" t="inlineStr">
        <is>
          <t>991002258989702656</t>
        </is>
      </c>
      <c r="BA292" t="inlineStr">
        <is>
          <t>2272625310002656</t>
        </is>
      </c>
      <c r="BB292" t="inlineStr">
        <is>
          <t>BOOK</t>
        </is>
      </c>
      <c r="BE292" t="inlineStr">
        <is>
          <t>32285000309384</t>
        </is>
      </c>
      <c r="BF292" t="inlineStr">
        <is>
          <t>893609653</t>
        </is>
      </c>
    </row>
    <row r="293">
      <c r="A293" t="inlineStr">
        <is>
          <t>No</t>
        </is>
      </c>
      <c r="B293" t="inlineStr">
        <is>
          <t>CURAL</t>
        </is>
      </c>
      <c r="C293" t="inlineStr">
        <is>
          <t>SHELVES</t>
        </is>
      </c>
      <c r="D293" t="inlineStr">
        <is>
          <t>BL51 .B76 1969</t>
        </is>
      </c>
      <c r="E293" t="inlineStr">
        <is>
          <t>0                      BL 0051000B  76          1969</t>
        </is>
      </c>
      <c r="F293" t="inlineStr">
        <is>
          <t>Approaches to the philosophy of religion; a book of readings, edited by Daniel Jay Bronstein and Harold M. Schulweis.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Bronstein, Daniel J., 1908-, editor.</t>
        </is>
      </c>
      <c r="N293" t="inlineStr">
        <is>
          <t>Freeport, N.Y., Books for Libraries Press [1969, c1954]</t>
        </is>
      </c>
      <c r="O293" t="inlineStr">
        <is>
          <t>1969</t>
        </is>
      </c>
      <c r="Q293" t="inlineStr">
        <is>
          <t>eng</t>
        </is>
      </c>
      <c r="R293" t="inlineStr">
        <is>
          <t>nyu</t>
        </is>
      </c>
      <c r="S293" t="inlineStr">
        <is>
          <t>Essay index reprint series</t>
        </is>
      </c>
      <c r="T293" t="inlineStr">
        <is>
          <t xml:space="preserve">BL </t>
        </is>
      </c>
      <c r="U293" t="n">
        <v>4</v>
      </c>
      <c r="V293" t="n">
        <v>4</v>
      </c>
      <c r="W293" t="inlineStr">
        <is>
          <t>1996-03-05</t>
        </is>
      </c>
      <c r="X293" t="inlineStr">
        <is>
          <t>1996-03-05</t>
        </is>
      </c>
      <c r="Y293" t="inlineStr">
        <is>
          <t>1990-09-25</t>
        </is>
      </c>
      <c r="Z293" t="inlineStr">
        <is>
          <t>1990-09-25</t>
        </is>
      </c>
      <c r="AA293" t="n">
        <v>183</v>
      </c>
      <c r="AB293" t="n">
        <v>176</v>
      </c>
      <c r="AC293" t="n">
        <v>602</v>
      </c>
      <c r="AD293" t="n">
        <v>3</v>
      </c>
      <c r="AE293" t="n">
        <v>9</v>
      </c>
      <c r="AF293" t="n">
        <v>9</v>
      </c>
      <c r="AG293" t="n">
        <v>30</v>
      </c>
      <c r="AH293" t="n">
        <v>2</v>
      </c>
      <c r="AI293" t="n">
        <v>12</v>
      </c>
      <c r="AJ293" t="n">
        <v>1</v>
      </c>
      <c r="AK293" t="n">
        <v>3</v>
      </c>
      <c r="AL293" t="n">
        <v>6</v>
      </c>
      <c r="AM293" t="n">
        <v>13</v>
      </c>
      <c r="AN293" t="n">
        <v>2</v>
      </c>
      <c r="AO293" t="n">
        <v>8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HYPERLINK("https://creighton-primo.hosted.exlibrisgroup.com/primo-explore/search?tab=default_tab&amp;search_scope=EVERYTHING&amp;vid=01CRU&amp;lang=en_US&amp;offset=0&amp;query=any,contains,991000125149702656","Catalog Record")</f>
        <v/>
      </c>
      <c r="AV293">
        <f>HYPERLINK("http://www.worldcat.org/oclc/51675","WorldCat Record")</f>
        <v/>
      </c>
      <c r="AW293" t="inlineStr">
        <is>
          <t>498286:eng</t>
        </is>
      </c>
      <c r="AX293" t="inlineStr">
        <is>
          <t>51675</t>
        </is>
      </c>
      <c r="AY293" t="inlineStr">
        <is>
          <t>991000125149702656</t>
        </is>
      </c>
      <c r="AZ293" t="inlineStr">
        <is>
          <t>991000125149702656</t>
        </is>
      </c>
      <c r="BA293" t="inlineStr">
        <is>
          <t>2258552460002656</t>
        </is>
      </c>
      <c r="BB293" t="inlineStr">
        <is>
          <t>BOOK</t>
        </is>
      </c>
      <c r="BD293" t="inlineStr">
        <is>
          <t>9780836913446</t>
        </is>
      </c>
      <c r="BE293" t="inlineStr">
        <is>
          <t>32285000309418</t>
        </is>
      </c>
      <c r="BF293" t="inlineStr">
        <is>
          <t>893884137</t>
        </is>
      </c>
    </row>
    <row r="294">
      <c r="A294" t="inlineStr">
        <is>
          <t>No</t>
        </is>
      </c>
      <c r="B294" t="inlineStr">
        <is>
          <t>CURAL</t>
        </is>
      </c>
      <c r="C294" t="inlineStr">
        <is>
          <t>SHELVES</t>
        </is>
      </c>
      <c r="D294" t="inlineStr">
        <is>
          <t>BL51 .B786</t>
        </is>
      </c>
      <c r="E294" t="inlineStr">
        <is>
          <t>0                      BL 0051000B  786</t>
        </is>
      </c>
      <c r="F294" t="inlineStr">
        <is>
          <t>The philosophy of religion from the standpoint of Protestant theology.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Brunner, Emil, 1889-1966.</t>
        </is>
      </c>
      <c r="N294" t="inlineStr">
        <is>
          <t>London, James Clarke [1958]</t>
        </is>
      </c>
      <c r="O294" t="inlineStr">
        <is>
          <t>1958</t>
        </is>
      </c>
      <c r="Q294" t="inlineStr">
        <is>
          <t>eng</t>
        </is>
      </c>
      <c r="R294" t="inlineStr">
        <is>
          <t>___</t>
        </is>
      </c>
      <c r="S294" t="inlineStr">
        <is>
          <t>The International library of Christian knowledge</t>
        </is>
      </c>
      <c r="T294" t="inlineStr">
        <is>
          <t xml:space="preserve">BL </t>
        </is>
      </c>
      <c r="U294" t="n">
        <v>1</v>
      </c>
      <c r="V294" t="n">
        <v>1</v>
      </c>
      <c r="W294" t="inlineStr">
        <is>
          <t>2002-04-09</t>
        </is>
      </c>
      <c r="X294" t="inlineStr">
        <is>
          <t>2002-04-09</t>
        </is>
      </c>
      <c r="Y294" t="inlineStr">
        <is>
          <t>1990-09-25</t>
        </is>
      </c>
      <c r="Z294" t="inlineStr">
        <is>
          <t>1990-09-25</t>
        </is>
      </c>
      <c r="AA294" t="n">
        <v>345</v>
      </c>
      <c r="AB294" t="n">
        <v>288</v>
      </c>
      <c r="AC294" t="n">
        <v>491</v>
      </c>
      <c r="AD294" t="n">
        <v>4</v>
      </c>
      <c r="AE294" t="n">
        <v>4</v>
      </c>
      <c r="AF294" t="n">
        <v>16</v>
      </c>
      <c r="AG294" t="n">
        <v>24</v>
      </c>
      <c r="AH294" t="n">
        <v>6</v>
      </c>
      <c r="AI294" t="n">
        <v>11</v>
      </c>
      <c r="AJ294" t="n">
        <v>4</v>
      </c>
      <c r="AK294" t="n">
        <v>5</v>
      </c>
      <c r="AL294" t="n">
        <v>9</v>
      </c>
      <c r="AM294" t="n">
        <v>13</v>
      </c>
      <c r="AN294" t="n">
        <v>1</v>
      </c>
      <c r="AO294" t="n">
        <v>1</v>
      </c>
      <c r="AP294" t="n">
        <v>0</v>
      </c>
      <c r="AQ294" t="n">
        <v>0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HYPERLINK("http://catalog.hathitrust.org/Record/001921459","HathiTrust Record")</f>
        <v/>
      </c>
      <c r="AU294">
        <f>HYPERLINK("https://creighton-primo.hosted.exlibrisgroup.com/primo-explore/search?tab=default_tab&amp;search_scope=EVERYTHING&amp;vid=01CRU&amp;lang=en_US&amp;offset=0&amp;query=any,contains,991002648319702656","Catalog Record")</f>
        <v/>
      </c>
      <c r="AV294">
        <f>HYPERLINK("http://www.worldcat.org/oclc/386386","WorldCat Record")</f>
        <v/>
      </c>
      <c r="AW294" t="inlineStr">
        <is>
          <t>1511312:eng</t>
        </is>
      </c>
      <c r="AX294" t="inlineStr">
        <is>
          <t>386386</t>
        </is>
      </c>
      <c r="AY294" t="inlineStr">
        <is>
          <t>991002648319702656</t>
        </is>
      </c>
      <c r="AZ294" t="inlineStr">
        <is>
          <t>991002648319702656</t>
        </is>
      </c>
      <c r="BA294" t="inlineStr">
        <is>
          <t>2259420670002656</t>
        </is>
      </c>
      <c r="BB294" t="inlineStr">
        <is>
          <t>BOOK</t>
        </is>
      </c>
      <c r="BE294" t="inlineStr">
        <is>
          <t>32285000309426</t>
        </is>
      </c>
      <c r="BF294" t="inlineStr">
        <is>
          <t>893804850</t>
        </is>
      </c>
    </row>
    <row r="295">
      <c r="A295" t="inlineStr">
        <is>
          <t>No</t>
        </is>
      </c>
      <c r="B295" t="inlineStr">
        <is>
          <t>CURAL</t>
        </is>
      </c>
      <c r="C295" t="inlineStr">
        <is>
          <t>SHELVES</t>
        </is>
      </c>
      <c r="D295" t="inlineStr">
        <is>
          <t>BL51 .B84</t>
        </is>
      </c>
      <c r="E295" t="inlineStr">
        <is>
          <t>0                      BL 0051000B  84</t>
        </is>
      </c>
      <c r="F295" t="inlineStr">
        <is>
          <t>Alternative goals in religion; love, freedom, truth. With a foreword by W. Norris Clarke.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Burch, George Bosworth, 1902-</t>
        </is>
      </c>
      <c r="N295" t="inlineStr">
        <is>
          <t>Montreal, McGill-Queen's University Press, 1972.</t>
        </is>
      </c>
      <c r="O295" t="inlineStr">
        <is>
          <t>1972</t>
        </is>
      </c>
      <c r="Q295" t="inlineStr">
        <is>
          <t>eng</t>
        </is>
      </c>
      <c r="R295" t="inlineStr">
        <is>
          <t>quc</t>
        </is>
      </c>
      <c r="T295" t="inlineStr">
        <is>
          <t xml:space="preserve">BL </t>
        </is>
      </c>
      <c r="U295" t="n">
        <v>5</v>
      </c>
      <c r="V295" t="n">
        <v>5</v>
      </c>
      <c r="W295" t="inlineStr">
        <is>
          <t>1998-01-20</t>
        </is>
      </c>
      <c r="X295" t="inlineStr">
        <is>
          <t>1998-01-20</t>
        </is>
      </c>
      <c r="Y295" t="inlineStr">
        <is>
          <t>1990-09-25</t>
        </is>
      </c>
      <c r="Z295" t="inlineStr">
        <is>
          <t>1990-09-25</t>
        </is>
      </c>
      <c r="AA295" t="n">
        <v>452</v>
      </c>
      <c r="AB295" t="n">
        <v>383</v>
      </c>
      <c r="AC295" t="n">
        <v>400</v>
      </c>
      <c r="AD295" t="n">
        <v>3</v>
      </c>
      <c r="AE295" t="n">
        <v>3</v>
      </c>
      <c r="AF295" t="n">
        <v>21</v>
      </c>
      <c r="AG295" t="n">
        <v>22</v>
      </c>
      <c r="AH295" t="n">
        <v>9</v>
      </c>
      <c r="AI295" t="n">
        <v>10</v>
      </c>
      <c r="AJ295" t="n">
        <v>4</v>
      </c>
      <c r="AK295" t="n">
        <v>4</v>
      </c>
      <c r="AL295" t="n">
        <v>11</v>
      </c>
      <c r="AM295" t="n">
        <v>12</v>
      </c>
      <c r="AN295" t="n">
        <v>2</v>
      </c>
      <c r="AO295" t="n">
        <v>2</v>
      </c>
      <c r="AP295" t="n">
        <v>0</v>
      </c>
      <c r="AQ295" t="n">
        <v>0</v>
      </c>
      <c r="AR295" t="inlineStr">
        <is>
          <t>No</t>
        </is>
      </c>
      <c r="AS295" t="inlineStr">
        <is>
          <t>Yes</t>
        </is>
      </c>
      <c r="AT295">
        <f>HYPERLINK("http://catalog.hathitrust.org/Record/011229886","HathiTrust Record")</f>
        <v/>
      </c>
      <c r="AU295">
        <f>HYPERLINK("https://creighton-primo.hosted.exlibrisgroup.com/primo-explore/search?tab=default_tab&amp;search_scope=EVERYTHING&amp;vid=01CRU&amp;lang=en_US&amp;offset=0&amp;query=any,contains,991003079419702656","Catalog Record")</f>
        <v/>
      </c>
      <c r="AV295">
        <f>HYPERLINK("http://www.worldcat.org/oclc/631972","WorldCat Record")</f>
        <v/>
      </c>
      <c r="AW295" t="inlineStr">
        <is>
          <t>891188075:eng</t>
        </is>
      </c>
      <c r="AX295" t="inlineStr">
        <is>
          <t>631972</t>
        </is>
      </c>
      <c r="AY295" t="inlineStr">
        <is>
          <t>991003079419702656</t>
        </is>
      </c>
      <c r="AZ295" t="inlineStr">
        <is>
          <t>991003079419702656</t>
        </is>
      </c>
      <c r="BA295" t="inlineStr">
        <is>
          <t>2263175510002656</t>
        </is>
      </c>
      <c r="BB295" t="inlineStr">
        <is>
          <t>BOOK</t>
        </is>
      </c>
      <c r="BD295" t="inlineStr">
        <is>
          <t>9780773501225</t>
        </is>
      </c>
      <c r="BE295" t="inlineStr">
        <is>
          <t>32285000309442</t>
        </is>
      </c>
      <c r="BF295" t="inlineStr">
        <is>
          <t>893342224</t>
        </is>
      </c>
    </row>
    <row r="296">
      <c r="A296" t="inlineStr">
        <is>
          <t>No</t>
        </is>
      </c>
      <c r="B296" t="inlineStr">
        <is>
          <t>CURAL</t>
        </is>
      </c>
      <c r="C296" t="inlineStr">
        <is>
          <t>SHELVES</t>
        </is>
      </c>
      <c r="D296" t="inlineStr">
        <is>
          <t>BL51 .B858</t>
        </is>
      </c>
      <c r="E296" t="inlineStr">
        <is>
          <t>0                      BL 0051000B  858</t>
        </is>
      </c>
      <c r="F296" t="inlineStr">
        <is>
          <t>Exercises in religious understanding [by] David B. Burrell.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Burrell, David B.</t>
        </is>
      </c>
      <c r="N296" t="inlineStr">
        <is>
          <t>Notre Dame, University of Notre Dame Press [1974]</t>
        </is>
      </c>
      <c r="O296" t="inlineStr">
        <is>
          <t>1974</t>
        </is>
      </c>
      <c r="Q296" t="inlineStr">
        <is>
          <t>eng</t>
        </is>
      </c>
      <c r="R296" t="inlineStr">
        <is>
          <t>inu</t>
        </is>
      </c>
      <c r="T296" t="inlineStr">
        <is>
          <t xml:space="preserve">BL </t>
        </is>
      </c>
      <c r="U296" t="n">
        <v>5</v>
      </c>
      <c r="V296" t="n">
        <v>5</v>
      </c>
      <c r="W296" t="inlineStr">
        <is>
          <t>1998-10-08</t>
        </is>
      </c>
      <c r="X296" t="inlineStr">
        <is>
          <t>1998-10-08</t>
        </is>
      </c>
      <c r="Y296" t="inlineStr">
        <is>
          <t>1990-09-25</t>
        </is>
      </c>
      <c r="Z296" t="inlineStr">
        <is>
          <t>1990-09-25</t>
        </is>
      </c>
      <c r="AA296" t="n">
        <v>522</v>
      </c>
      <c r="AB296" t="n">
        <v>445</v>
      </c>
      <c r="AC296" t="n">
        <v>463</v>
      </c>
      <c r="AD296" t="n">
        <v>3</v>
      </c>
      <c r="AE296" t="n">
        <v>4</v>
      </c>
      <c r="AF296" t="n">
        <v>38</v>
      </c>
      <c r="AG296" t="n">
        <v>40</v>
      </c>
      <c r="AH296" t="n">
        <v>14</v>
      </c>
      <c r="AI296" t="n">
        <v>15</v>
      </c>
      <c r="AJ296" t="n">
        <v>10</v>
      </c>
      <c r="AK296" t="n">
        <v>11</v>
      </c>
      <c r="AL296" t="n">
        <v>25</v>
      </c>
      <c r="AM296" t="n">
        <v>25</v>
      </c>
      <c r="AN296" t="n">
        <v>1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HYPERLINK("http://catalog.hathitrust.org/Record/000021947","HathiTrust Record")</f>
        <v/>
      </c>
      <c r="AU296">
        <f>HYPERLINK("https://creighton-primo.hosted.exlibrisgroup.com/primo-explore/search?tab=default_tab&amp;search_scope=EVERYTHING&amp;vid=01CRU&amp;lang=en_US&amp;offset=0&amp;query=any,contains,991003501569702656","Catalog Record")</f>
        <v/>
      </c>
      <c r="AV296">
        <f>HYPERLINK("http://www.worldcat.org/oclc/1054148","WorldCat Record")</f>
        <v/>
      </c>
      <c r="AW296" t="inlineStr">
        <is>
          <t>1971669:eng</t>
        </is>
      </c>
      <c r="AX296" t="inlineStr">
        <is>
          <t>1054148</t>
        </is>
      </c>
      <c r="AY296" t="inlineStr">
        <is>
          <t>991003501569702656</t>
        </is>
      </c>
      <c r="AZ296" t="inlineStr">
        <is>
          <t>991003501569702656</t>
        </is>
      </c>
      <c r="BA296" t="inlineStr">
        <is>
          <t>2269439840002656</t>
        </is>
      </c>
      <c r="BB296" t="inlineStr">
        <is>
          <t>BOOK</t>
        </is>
      </c>
      <c r="BD296" t="inlineStr">
        <is>
          <t>9780268005481</t>
        </is>
      </c>
      <c r="BE296" t="inlineStr">
        <is>
          <t>32285000309459</t>
        </is>
      </c>
      <c r="BF296" t="inlineStr">
        <is>
          <t>893234229</t>
        </is>
      </c>
    </row>
    <row r="297">
      <c r="A297" t="inlineStr">
        <is>
          <t>No</t>
        </is>
      </c>
      <c r="B297" t="inlineStr">
        <is>
          <t>CURAL</t>
        </is>
      </c>
      <c r="C297" t="inlineStr">
        <is>
          <t>SHELVES</t>
        </is>
      </c>
      <c r="D297" t="inlineStr">
        <is>
          <t>BL51 .C23</t>
        </is>
      </c>
      <c r="E297" t="inlineStr">
        <is>
          <t>0                      BL 0051000C  23</t>
        </is>
      </c>
      <c r="F297" t="inlineStr">
        <is>
          <t>Philosophy of religion, edited by Steven M. Cahn.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Cahn, Steven M. compiler.</t>
        </is>
      </c>
      <c r="N297" t="inlineStr">
        <is>
          <t>New York, Harper &amp; Row [1970]</t>
        </is>
      </c>
      <c r="O297" t="inlineStr">
        <is>
          <t>1970</t>
        </is>
      </c>
      <c r="Q297" t="inlineStr">
        <is>
          <t>eng</t>
        </is>
      </c>
      <c r="R297" t="inlineStr">
        <is>
          <t>nyu</t>
        </is>
      </c>
      <c r="S297" t="inlineStr">
        <is>
          <t>Sources in contemporary philosophy</t>
        </is>
      </c>
      <c r="T297" t="inlineStr">
        <is>
          <t xml:space="preserve">BL </t>
        </is>
      </c>
      <c r="U297" t="n">
        <v>7</v>
      </c>
      <c r="V297" t="n">
        <v>7</v>
      </c>
      <c r="W297" t="inlineStr">
        <is>
          <t>2004-04-23</t>
        </is>
      </c>
      <c r="X297" t="inlineStr">
        <is>
          <t>2004-04-23</t>
        </is>
      </c>
      <c r="Y297" t="inlineStr">
        <is>
          <t>1990-09-25</t>
        </is>
      </c>
      <c r="Z297" t="inlineStr">
        <is>
          <t>1990-09-25</t>
        </is>
      </c>
      <c r="AA297" t="n">
        <v>589</v>
      </c>
      <c r="AB297" t="n">
        <v>485</v>
      </c>
      <c r="AC297" t="n">
        <v>488</v>
      </c>
      <c r="AD297" t="n">
        <v>4</v>
      </c>
      <c r="AE297" t="n">
        <v>4</v>
      </c>
      <c r="AF297" t="n">
        <v>20</v>
      </c>
      <c r="AG297" t="n">
        <v>20</v>
      </c>
      <c r="AH297" t="n">
        <v>9</v>
      </c>
      <c r="AI297" t="n">
        <v>9</v>
      </c>
      <c r="AJ297" t="n">
        <v>4</v>
      </c>
      <c r="AK297" t="n">
        <v>4</v>
      </c>
      <c r="AL297" t="n">
        <v>11</v>
      </c>
      <c r="AM297" t="n">
        <v>11</v>
      </c>
      <c r="AN297" t="n">
        <v>2</v>
      </c>
      <c r="AO297" t="n">
        <v>2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HYPERLINK("http://catalog.hathitrust.org/Record/001391211","HathiTrust Record")</f>
        <v/>
      </c>
      <c r="AU297">
        <f>HYPERLINK("https://creighton-primo.hosted.exlibrisgroup.com/primo-explore/search?tab=default_tab&amp;search_scope=EVERYTHING&amp;vid=01CRU&amp;lang=en_US&amp;offset=0&amp;query=any,contains,991000498979702656","Catalog Record")</f>
        <v/>
      </c>
      <c r="AV297">
        <f>HYPERLINK("http://www.worldcat.org/oclc/80922","WorldCat Record")</f>
        <v/>
      </c>
      <c r="AW297" t="inlineStr">
        <is>
          <t>3857353874:eng</t>
        </is>
      </c>
      <c r="AX297" t="inlineStr">
        <is>
          <t>80922</t>
        </is>
      </c>
      <c r="AY297" t="inlineStr">
        <is>
          <t>991000498979702656</t>
        </is>
      </c>
      <c r="AZ297" t="inlineStr">
        <is>
          <t>991000498979702656</t>
        </is>
      </c>
      <c r="BA297" t="inlineStr">
        <is>
          <t>2271697080002656</t>
        </is>
      </c>
      <c r="BB297" t="inlineStr">
        <is>
          <t>BOOK</t>
        </is>
      </c>
      <c r="BE297" t="inlineStr">
        <is>
          <t>32285000309541</t>
        </is>
      </c>
      <c r="BF297" t="inlineStr">
        <is>
          <t>893865405</t>
        </is>
      </c>
    </row>
    <row r="298">
      <c r="A298" t="inlineStr">
        <is>
          <t>No</t>
        </is>
      </c>
      <c r="B298" t="inlineStr">
        <is>
          <t>CURAL</t>
        </is>
      </c>
      <c r="C298" t="inlineStr">
        <is>
          <t>SHELVES</t>
        </is>
      </c>
      <c r="D298" t="inlineStr">
        <is>
          <t>BL51 .C49 1972b</t>
        </is>
      </c>
      <c r="E298" t="inlineStr">
        <is>
          <t>0                      BL 0051000C  49          1972b</t>
        </is>
      </c>
      <c r="F298" t="inlineStr">
        <is>
          <t>Philosophy of religion: the historic approaches [by] M. J. Charlesworth.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Charlesworth, M. J. (Maxwell John), 1925-2014.</t>
        </is>
      </c>
      <c r="N298" t="inlineStr">
        <is>
          <t>[New York] Herder and Herder [1972]</t>
        </is>
      </c>
      <c r="O298" t="inlineStr">
        <is>
          <t>1972</t>
        </is>
      </c>
      <c r="Q298" t="inlineStr">
        <is>
          <t>eng</t>
        </is>
      </c>
      <c r="R298" t="inlineStr">
        <is>
          <t>nyu</t>
        </is>
      </c>
      <c r="S298" t="inlineStr">
        <is>
          <t>Philosophy of religion series</t>
        </is>
      </c>
      <c r="T298" t="inlineStr">
        <is>
          <t xml:space="preserve">BL </t>
        </is>
      </c>
      <c r="U298" t="n">
        <v>4</v>
      </c>
      <c r="V298" t="n">
        <v>4</v>
      </c>
      <c r="W298" t="inlineStr">
        <is>
          <t>2004-11-22</t>
        </is>
      </c>
      <c r="X298" t="inlineStr">
        <is>
          <t>2004-11-22</t>
        </is>
      </c>
      <c r="Y298" t="inlineStr">
        <is>
          <t>1990-09-25</t>
        </is>
      </c>
      <c r="Z298" t="inlineStr">
        <is>
          <t>1990-09-25</t>
        </is>
      </c>
      <c r="AA298" t="n">
        <v>475</v>
      </c>
      <c r="AB298" t="n">
        <v>435</v>
      </c>
      <c r="AC298" t="n">
        <v>547</v>
      </c>
      <c r="AD298" t="n">
        <v>3</v>
      </c>
      <c r="AE298" t="n">
        <v>4</v>
      </c>
      <c r="AF298" t="n">
        <v>24</v>
      </c>
      <c r="AG298" t="n">
        <v>28</v>
      </c>
      <c r="AH298" t="n">
        <v>9</v>
      </c>
      <c r="AI298" t="n">
        <v>10</v>
      </c>
      <c r="AJ298" t="n">
        <v>5</v>
      </c>
      <c r="AK298" t="n">
        <v>7</v>
      </c>
      <c r="AL298" t="n">
        <v>16</v>
      </c>
      <c r="AM298" t="n">
        <v>18</v>
      </c>
      <c r="AN298" t="n">
        <v>2</v>
      </c>
      <c r="AO298" t="n">
        <v>3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HYPERLINK("https://creighton-primo.hosted.exlibrisgroup.com/primo-explore/search?tab=default_tab&amp;search_scope=EVERYTHING&amp;vid=01CRU&amp;lang=en_US&amp;offset=0&amp;query=any,contains,991002394989702656","Catalog Record")</f>
        <v/>
      </c>
      <c r="AV298">
        <f>HYPERLINK("http://www.worldcat.org/oclc/334315","WorldCat Record")</f>
        <v/>
      </c>
      <c r="AW298" t="inlineStr">
        <is>
          <t>1447892:eng</t>
        </is>
      </c>
      <c r="AX298" t="inlineStr">
        <is>
          <t>334315</t>
        </is>
      </c>
      <c r="AY298" t="inlineStr">
        <is>
          <t>991002394989702656</t>
        </is>
      </c>
      <c r="AZ298" t="inlineStr">
        <is>
          <t>991002394989702656</t>
        </is>
      </c>
      <c r="BA298" t="inlineStr">
        <is>
          <t>2257341450002656</t>
        </is>
      </c>
      <c r="BB298" t="inlineStr">
        <is>
          <t>BOOK</t>
        </is>
      </c>
      <c r="BE298" t="inlineStr">
        <is>
          <t>32285000309574</t>
        </is>
      </c>
      <c r="BF298" t="inlineStr">
        <is>
          <t>893529924</t>
        </is>
      </c>
    </row>
    <row r="299">
      <c r="A299" t="inlineStr">
        <is>
          <t>No</t>
        </is>
      </c>
      <c r="B299" t="inlineStr">
        <is>
          <t>CURAL</t>
        </is>
      </c>
      <c r="C299" t="inlineStr">
        <is>
          <t>SHELVES</t>
        </is>
      </c>
      <c r="D299" t="inlineStr">
        <is>
          <t>BL51 .C62</t>
        </is>
      </c>
      <c r="E299" t="inlineStr">
        <is>
          <t>0                      BL 0051000C  62</t>
        </is>
      </c>
      <c r="F299" t="inlineStr">
        <is>
          <t>The emergence of philosophy of religion, by James Collins.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Collins, James, 1917-1985.</t>
        </is>
      </c>
      <c r="N299" t="inlineStr">
        <is>
          <t>New Haven, Yale University Press, 1967.</t>
        </is>
      </c>
      <c r="O299" t="inlineStr">
        <is>
          <t>1967</t>
        </is>
      </c>
      <c r="Q299" t="inlineStr">
        <is>
          <t>eng</t>
        </is>
      </c>
      <c r="R299" t="inlineStr">
        <is>
          <t>ctu</t>
        </is>
      </c>
      <c r="S299" t="inlineStr">
        <is>
          <t>St. Thomas More lectures ; 1963</t>
        </is>
      </c>
      <c r="T299" t="inlineStr">
        <is>
          <t xml:space="preserve">BL </t>
        </is>
      </c>
      <c r="U299" t="n">
        <v>5</v>
      </c>
      <c r="V299" t="n">
        <v>5</v>
      </c>
      <c r="W299" t="inlineStr">
        <is>
          <t>2000-04-18</t>
        </is>
      </c>
      <c r="X299" t="inlineStr">
        <is>
          <t>2000-04-18</t>
        </is>
      </c>
      <c r="Y299" t="inlineStr">
        <is>
          <t>1990-09-25</t>
        </is>
      </c>
      <c r="Z299" t="inlineStr">
        <is>
          <t>1990-09-25</t>
        </is>
      </c>
      <c r="AA299" t="n">
        <v>878</v>
      </c>
      <c r="AB299" t="n">
        <v>759</v>
      </c>
      <c r="AC299" t="n">
        <v>770</v>
      </c>
      <c r="AD299" t="n">
        <v>8</v>
      </c>
      <c r="AE299" t="n">
        <v>8</v>
      </c>
      <c r="AF299" t="n">
        <v>37</v>
      </c>
      <c r="AG299" t="n">
        <v>37</v>
      </c>
      <c r="AH299" t="n">
        <v>12</v>
      </c>
      <c r="AI299" t="n">
        <v>12</v>
      </c>
      <c r="AJ299" t="n">
        <v>7</v>
      </c>
      <c r="AK299" t="n">
        <v>7</v>
      </c>
      <c r="AL299" t="n">
        <v>23</v>
      </c>
      <c r="AM299" t="n">
        <v>23</v>
      </c>
      <c r="AN299" t="n">
        <v>5</v>
      </c>
      <c r="AO299" t="n">
        <v>5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HYPERLINK("http://catalog.hathitrust.org/Record/001391222","HathiTrust Record")</f>
        <v/>
      </c>
      <c r="AU299">
        <f>HYPERLINK("https://creighton-primo.hosted.exlibrisgroup.com/primo-explore/search?tab=default_tab&amp;search_scope=EVERYTHING&amp;vid=01CRU&amp;lang=en_US&amp;offset=0&amp;query=any,contains,991002288709702656","Catalog Record")</f>
        <v/>
      </c>
      <c r="AV299">
        <f>HYPERLINK("http://www.worldcat.org/oclc/312381","WorldCat Record")</f>
        <v/>
      </c>
      <c r="AW299" t="inlineStr">
        <is>
          <t>1375220:eng</t>
        </is>
      </c>
      <c r="AX299" t="inlineStr">
        <is>
          <t>312381</t>
        </is>
      </c>
      <c r="AY299" t="inlineStr">
        <is>
          <t>991002288709702656</t>
        </is>
      </c>
      <c r="AZ299" t="inlineStr">
        <is>
          <t>991002288709702656</t>
        </is>
      </c>
      <c r="BA299" t="inlineStr">
        <is>
          <t>2271076900002656</t>
        </is>
      </c>
      <c r="BB299" t="inlineStr">
        <is>
          <t>BOOK</t>
        </is>
      </c>
      <c r="BE299" t="inlineStr">
        <is>
          <t>32285000309590</t>
        </is>
      </c>
      <c r="BF299" t="inlineStr">
        <is>
          <t>893627055</t>
        </is>
      </c>
    </row>
    <row r="300">
      <c r="A300" t="inlineStr">
        <is>
          <t>No</t>
        </is>
      </c>
      <c r="B300" t="inlineStr">
        <is>
          <t>CURAL</t>
        </is>
      </c>
      <c r="C300" t="inlineStr">
        <is>
          <t>SHELVES</t>
        </is>
      </c>
      <c r="D300" t="inlineStr">
        <is>
          <t>BL51 .C635 1970</t>
        </is>
      </c>
      <c r="E300" t="inlineStr">
        <is>
          <t>0                      BL 0051000C  635         1970</t>
        </is>
      </c>
      <c r="F300" t="inlineStr">
        <is>
          <t>Truth and dialogue in world religions: conflicting truth-claims. Edited by John Hick.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Conference on the Philosophy of Religion (1970 : University of Birmingham)</t>
        </is>
      </c>
      <c r="N300" t="inlineStr">
        <is>
          <t>Philadelphia, The Westminster Press [1974]</t>
        </is>
      </c>
      <c r="O300" t="inlineStr">
        <is>
          <t>1974</t>
        </is>
      </c>
      <c r="Q300" t="inlineStr">
        <is>
          <t>eng</t>
        </is>
      </c>
      <c r="R300" t="inlineStr">
        <is>
          <t>pau</t>
        </is>
      </c>
      <c r="T300" t="inlineStr">
        <is>
          <t xml:space="preserve">BL </t>
        </is>
      </c>
      <c r="U300" t="n">
        <v>6</v>
      </c>
      <c r="V300" t="n">
        <v>6</v>
      </c>
      <c r="W300" t="inlineStr">
        <is>
          <t>1999-11-16</t>
        </is>
      </c>
      <c r="X300" t="inlineStr">
        <is>
          <t>1999-11-16</t>
        </is>
      </c>
      <c r="Y300" t="inlineStr">
        <is>
          <t>1990-05-03</t>
        </is>
      </c>
      <c r="Z300" t="inlineStr">
        <is>
          <t>1990-05-03</t>
        </is>
      </c>
      <c r="AA300" t="n">
        <v>472</v>
      </c>
      <c r="AB300" t="n">
        <v>439</v>
      </c>
      <c r="AC300" t="n">
        <v>443</v>
      </c>
      <c r="AD300" t="n">
        <v>3</v>
      </c>
      <c r="AE300" t="n">
        <v>3</v>
      </c>
      <c r="AF300" t="n">
        <v>28</v>
      </c>
      <c r="AG300" t="n">
        <v>28</v>
      </c>
      <c r="AH300" t="n">
        <v>12</v>
      </c>
      <c r="AI300" t="n">
        <v>12</v>
      </c>
      <c r="AJ300" t="n">
        <v>7</v>
      </c>
      <c r="AK300" t="n">
        <v>7</v>
      </c>
      <c r="AL300" t="n">
        <v>18</v>
      </c>
      <c r="AM300" t="n">
        <v>18</v>
      </c>
      <c r="AN300" t="n">
        <v>2</v>
      </c>
      <c r="AO300" t="n">
        <v>2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HYPERLINK("https://creighton-primo.hosted.exlibrisgroup.com/primo-explore/search?tab=default_tab&amp;search_scope=EVERYTHING&amp;vid=01CRU&amp;lang=en_US&amp;offset=0&amp;query=any,contains,991003362009702656","Catalog Record")</f>
        <v/>
      </c>
      <c r="AV300">
        <f>HYPERLINK("http://www.worldcat.org/oclc/897908","WorldCat Record")</f>
        <v/>
      </c>
      <c r="AW300" t="inlineStr">
        <is>
          <t>1885322:eng</t>
        </is>
      </c>
      <c r="AX300" t="inlineStr">
        <is>
          <t>897908</t>
        </is>
      </c>
      <c r="AY300" t="inlineStr">
        <is>
          <t>991003362009702656</t>
        </is>
      </c>
      <c r="AZ300" t="inlineStr">
        <is>
          <t>991003362009702656</t>
        </is>
      </c>
      <c r="BA300" t="inlineStr">
        <is>
          <t>2257315720002656</t>
        </is>
      </c>
      <c r="BB300" t="inlineStr">
        <is>
          <t>BOOK</t>
        </is>
      </c>
      <c r="BD300" t="inlineStr">
        <is>
          <t>9780664207137</t>
        </is>
      </c>
      <c r="BE300" t="inlineStr">
        <is>
          <t>32285000147263</t>
        </is>
      </c>
      <c r="BF300" t="inlineStr">
        <is>
          <t>893598524</t>
        </is>
      </c>
    </row>
    <row r="301">
      <c r="A301" t="inlineStr">
        <is>
          <t>No</t>
        </is>
      </c>
      <c r="B301" t="inlineStr">
        <is>
          <t>CURAL</t>
        </is>
      </c>
      <c r="C301" t="inlineStr">
        <is>
          <t>SHELVES</t>
        </is>
      </c>
      <c r="D301" t="inlineStr">
        <is>
          <t>BL51 .C66</t>
        </is>
      </c>
      <c r="E301" t="inlineStr">
        <is>
          <t>0                      BL 0051000C  66</t>
        </is>
      </c>
      <c r="F301" t="inlineStr">
        <is>
          <t>Religion and philosophy / Frederick C. Copleston.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Copleston, Frederick C. (Frederick Charles), 1907-1994.</t>
        </is>
      </c>
      <c r="N301" t="inlineStr">
        <is>
          <t>New York : Barnes &amp; Noble, 1974.</t>
        </is>
      </c>
      <c r="O301" t="inlineStr">
        <is>
          <t>1974</t>
        </is>
      </c>
      <c r="Q301" t="inlineStr">
        <is>
          <t>eng</t>
        </is>
      </c>
      <c r="R301" t="inlineStr">
        <is>
          <t>nyu</t>
        </is>
      </c>
      <c r="T301" t="inlineStr">
        <is>
          <t xml:space="preserve">BL </t>
        </is>
      </c>
      <c r="U301" t="n">
        <v>6</v>
      </c>
      <c r="V301" t="n">
        <v>6</v>
      </c>
      <c r="W301" t="inlineStr">
        <is>
          <t>2005-04-25</t>
        </is>
      </c>
      <c r="X301" t="inlineStr">
        <is>
          <t>2005-04-25</t>
        </is>
      </c>
      <c r="Y301" t="inlineStr">
        <is>
          <t>1990-09-25</t>
        </is>
      </c>
      <c r="Z301" t="inlineStr">
        <is>
          <t>1990-09-25</t>
        </is>
      </c>
      <c r="AA301" t="n">
        <v>341</v>
      </c>
      <c r="AB301" t="n">
        <v>310</v>
      </c>
      <c r="AC301" t="n">
        <v>402</v>
      </c>
      <c r="AD301" t="n">
        <v>4</v>
      </c>
      <c r="AE301" t="n">
        <v>5</v>
      </c>
      <c r="AF301" t="n">
        <v>25</v>
      </c>
      <c r="AG301" t="n">
        <v>31</v>
      </c>
      <c r="AH301" t="n">
        <v>7</v>
      </c>
      <c r="AI301" t="n">
        <v>8</v>
      </c>
      <c r="AJ301" t="n">
        <v>4</v>
      </c>
      <c r="AK301" t="n">
        <v>5</v>
      </c>
      <c r="AL301" t="n">
        <v>21</v>
      </c>
      <c r="AM301" t="n">
        <v>24</v>
      </c>
      <c r="AN301" t="n">
        <v>3</v>
      </c>
      <c r="AO301" t="n">
        <v>4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HYPERLINK("http://catalog.hathitrust.org/Record/004451489","HathiTrust Record")</f>
        <v/>
      </c>
      <c r="AU301">
        <f>HYPERLINK("https://creighton-primo.hosted.exlibrisgroup.com/primo-explore/search?tab=default_tab&amp;search_scope=EVERYTHING&amp;vid=01CRU&amp;lang=en_US&amp;offset=0&amp;query=any,contains,991003529599702656","Catalog Record")</f>
        <v/>
      </c>
      <c r="AV301">
        <f>HYPERLINK("http://www.worldcat.org/oclc/1093171","WorldCat Record")</f>
        <v/>
      </c>
      <c r="AW301" t="inlineStr">
        <is>
          <t>764611382:eng</t>
        </is>
      </c>
      <c r="AX301" t="inlineStr">
        <is>
          <t>1093171</t>
        </is>
      </c>
      <c r="AY301" t="inlineStr">
        <is>
          <t>991003529599702656</t>
        </is>
      </c>
      <c r="AZ301" t="inlineStr">
        <is>
          <t>991003529599702656</t>
        </is>
      </c>
      <c r="BA301" t="inlineStr">
        <is>
          <t>2264754280002656</t>
        </is>
      </c>
      <c r="BB301" t="inlineStr">
        <is>
          <t>BOOK</t>
        </is>
      </c>
      <c r="BD301" t="inlineStr">
        <is>
          <t>9780064912822</t>
        </is>
      </c>
      <c r="BE301" t="inlineStr">
        <is>
          <t>32285000309608</t>
        </is>
      </c>
      <c r="BF301" t="inlineStr">
        <is>
          <t>893881260</t>
        </is>
      </c>
    </row>
    <row r="302">
      <c r="A302" t="inlineStr">
        <is>
          <t>No</t>
        </is>
      </c>
      <c r="B302" t="inlineStr">
        <is>
          <t>CURAL</t>
        </is>
      </c>
      <c r="C302" t="inlineStr">
        <is>
          <t>SHELVES</t>
        </is>
      </c>
      <c r="D302" t="inlineStr">
        <is>
          <t>BL51 .D417</t>
        </is>
      </c>
      <c r="E302" t="inlineStr">
        <is>
          <t>0                      BL 0051000D  417</t>
        </is>
      </c>
      <c r="F302" t="inlineStr">
        <is>
          <t>The foundations of belief.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Dewart, Leslie.</t>
        </is>
      </c>
      <c r="N302" t="inlineStr">
        <is>
          <t>[New York] Herder and Herder [1969]</t>
        </is>
      </c>
      <c r="O302" t="inlineStr">
        <is>
          <t>1969</t>
        </is>
      </c>
      <c r="Q302" t="inlineStr">
        <is>
          <t>eng</t>
        </is>
      </c>
      <c r="R302" t="inlineStr">
        <is>
          <t>nyu</t>
        </is>
      </c>
      <c r="T302" t="inlineStr">
        <is>
          <t xml:space="preserve">BL </t>
        </is>
      </c>
      <c r="U302" t="n">
        <v>7</v>
      </c>
      <c r="V302" t="n">
        <v>7</v>
      </c>
      <c r="W302" t="inlineStr">
        <is>
          <t>1997-08-12</t>
        </is>
      </c>
      <c r="X302" t="inlineStr">
        <is>
          <t>1997-08-12</t>
        </is>
      </c>
      <c r="Y302" t="inlineStr">
        <is>
          <t>1990-09-25</t>
        </is>
      </c>
      <c r="Z302" t="inlineStr">
        <is>
          <t>1990-09-25</t>
        </is>
      </c>
      <c r="AA302" t="n">
        <v>658</v>
      </c>
      <c r="AB302" t="n">
        <v>578</v>
      </c>
      <c r="AC302" t="n">
        <v>592</v>
      </c>
      <c r="AD302" t="n">
        <v>3</v>
      </c>
      <c r="AE302" t="n">
        <v>3</v>
      </c>
      <c r="AF302" t="n">
        <v>40</v>
      </c>
      <c r="AG302" t="n">
        <v>40</v>
      </c>
      <c r="AH302" t="n">
        <v>16</v>
      </c>
      <c r="AI302" t="n">
        <v>16</v>
      </c>
      <c r="AJ302" t="n">
        <v>9</v>
      </c>
      <c r="AK302" t="n">
        <v>9</v>
      </c>
      <c r="AL302" t="n">
        <v>27</v>
      </c>
      <c r="AM302" t="n">
        <v>27</v>
      </c>
      <c r="AN302" t="n">
        <v>1</v>
      </c>
      <c r="AO302" t="n">
        <v>1</v>
      </c>
      <c r="AP302" t="n">
        <v>0</v>
      </c>
      <c r="AQ302" t="n">
        <v>0</v>
      </c>
      <c r="AR302" t="inlineStr">
        <is>
          <t>No</t>
        </is>
      </c>
      <c r="AS302" t="inlineStr">
        <is>
          <t>Yes</t>
        </is>
      </c>
      <c r="AT302">
        <f>HYPERLINK("http://catalog.hathitrust.org/Record/001921467","HathiTrust Record")</f>
        <v/>
      </c>
      <c r="AU302">
        <f>HYPERLINK("https://creighton-primo.hosted.exlibrisgroup.com/primo-explore/search?tab=default_tab&amp;search_scope=EVERYTHING&amp;vid=01CRU&amp;lang=en_US&amp;offset=0&amp;query=any,contains,991005438309702656","Catalog Record")</f>
        <v/>
      </c>
      <c r="AV302">
        <f>HYPERLINK("http://www.worldcat.org/oclc/5940","WorldCat Record")</f>
        <v/>
      </c>
      <c r="AW302" t="inlineStr">
        <is>
          <t>2999343784:eng</t>
        </is>
      </c>
      <c r="AX302" t="inlineStr">
        <is>
          <t>5940</t>
        </is>
      </c>
      <c r="AY302" t="inlineStr">
        <is>
          <t>991005438309702656</t>
        </is>
      </c>
      <c r="AZ302" t="inlineStr">
        <is>
          <t>991005438309702656</t>
        </is>
      </c>
      <c r="BA302" t="inlineStr">
        <is>
          <t>2264697170002656</t>
        </is>
      </c>
      <c r="BB302" t="inlineStr">
        <is>
          <t>BOOK</t>
        </is>
      </c>
      <c r="BE302" t="inlineStr">
        <is>
          <t>32285000309632</t>
        </is>
      </c>
      <c r="BF302" t="inlineStr">
        <is>
          <t>893263851</t>
        </is>
      </c>
    </row>
    <row r="303">
      <c r="A303" t="inlineStr">
        <is>
          <t>No</t>
        </is>
      </c>
      <c r="B303" t="inlineStr">
        <is>
          <t>CURAL</t>
        </is>
      </c>
      <c r="C303" t="inlineStr">
        <is>
          <t>SHELVES</t>
        </is>
      </c>
      <c r="D303" t="inlineStr">
        <is>
          <t>BL51 .D49 1968</t>
        </is>
      </c>
      <c r="E303" t="inlineStr">
        <is>
          <t>0                      BL 0051000D  49          1968</t>
        </is>
      </c>
      <c r="F303" t="inlineStr">
        <is>
          <t>The religious revolt against reason, by L. Harold DeWolf.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M303" t="inlineStr">
        <is>
          <t>DeWolf, L. Harold (Lotan Harold), 1905-1986.</t>
        </is>
      </c>
      <c r="N303" t="inlineStr">
        <is>
          <t>New York, Greenwood Press, 1968 [c1949]</t>
        </is>
      </c>
      <c r="O303" t="inlineStr">
        <is>
          <t>1968</t>
        </is>
      </c>
      <c r="P303" t="inlineStr">
        <is>
          <t>[1st ed.]</t>
        </is>
      </c>
      <c r="Q303" t="inlineStr">
        <is>
          <t>eng</t>
        </is>
      </c>
      <c r="R303" t="inlineStr">
        <is>
          <t>nyu</t>
        </is>
      </c>
      <c r="T303" t="inlineStr">
        <is>
          <t xml:space="preserve">BL </t>
        </is>
      </c>
      <c r="U303" t="n">
        <v>3</v>
      </c>
      <c r="V303" t="n">
        <v>3</v>
      </c>
      <c r="W303" t="inlineStr">
        <is>
          <t>1994-11-13</t>
        </is>
      </c>
      <c r="X303" t="inlineStr">
        <is>
          <t>1994-11-13</t>
        </is>
      </c>
      <c r="Y303" t="inlineStr">
        <is>
          <t>1990-09-25</t>
        </is>
      </c>
      <c r="Z303" t="inlineStr">
        <is>
          <t>1990-09-25</t>
        </is>
      </c>
      <c r="AA303" t="n">
        <v>264</v>
      </c>
      <c r="AB303" t="n">
        <v>241</v>
      </c>
      <c r="AC303" t="n">
        <v>545</v>
      </c>
      <c r="AD303" t="n">
        <v>3</v>
      </c>
      <c r="AE303" t="n">
        <v>6</v>
      </c>
      <c r="AF303" t="n">
        <v>14</v>
      </c>
      <c r="AG303" t="n">
        <v>27</v>
      </c>
      <c r="AH303" t="n">
        <v>3</v>
      </c>
      <c r="AI303" t="n">
        <v>10</v>
      </c>
      <c r="AJ303" t="n">
        <v>4</v>
      </c>
      <c r="AK303" t="n">
        <v>5</v>
      </c>
      <c r="AL303" t="n">
        <v>8</v>
      </c>
      <c r="AM303" t="n">
        <v>13</v>
      </c>
      <c r="AN303" t="n">
        <v>2</v>
      </c>
      <c r="AO303" t="n">
        <v>5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HYPERLINK("http://catalog.hathitrust.org/Record/101870677","HathiTrust Record")</f>
        <v/>
      </c>
      <c r="AU303">
        <f>HYPERLINK("https://creighton-primo.hosted.exlibrisgroup.com/primo-explore/search?tab=default_tab&amp;search_scope=EVERYTHING&amp;vid=01CRU&amp;lang=en_US&amp;offset=0&amp;query=any,contains,991002789509702656","Catalog Record")</f>
        <v/>
      </c>
      <c r="AV303">
        <f>HYPERLINK("http://www.worldcat.org/oclc/442896","WorldCat Record")</f>
        <v/>
      </c>
      <c r="AW303" t="inlineStr">
        <is>
          <t>1573128:eng</t>
        </is>
      </c>
      <c r="AX303" t="inlineStr">
        <is>
          <t>442896</t>
        </is>
      </c>
      <c r="AY303" t="inlineStr">
        <is>
          <t>991002789509702656</t>
        </is>
      </c>
      <c r="AZ303" t="inlineStr">
        <is>
          <t>991002789509702656</t>
        </is>
      </c>
      <c r="BA303" t="inlineStr">
        <is>
          <t>2266360710002656</t>
        </is>
      </c>
      <c r="BB303" t="inlineStr">
        <is>
          <t>BOOK</t>
        </is>
      </c>
      <c r="BE303" t="inlineStr">
        <is>
          <t>32285000309640</t>
        </is>
      </c>
      <c r="BF303" t="inlineStr">
        <is>
          <t>893685780</t>
        </is>
      </c>
    </row>
    <row r="304">
      <c r="A304" t="inlineStr">
        <is>
          <t>No</t>
        </is>
      </c>
      <c r="B304" t="inlineStr">
        <is>
          <t>CURAL</t>
        </is>
      </c>
      <c r="C304" t="inlineStr">
        <is>
          <t>SHELVES</t>
        </is>
      </c>
      <c r="D304" t="inlineStr">
        <is>
          <t>BL51 .D491</t>
        </is>
      </c>
      <c r="E304" t="inlineStr">
        <is>
          <t>0                      BL 0051000D  491</t>
        </is>
      </c>
      <c r="F304" t="inlineStr">
        <is>
          <t>The logic of God; theology and verification, edited by Malcolm L. Diamond and Thomas V. Litzenburg, Jr. Introd., The challenge of contemporary empiricism, by Malcolm L. Diamond.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Diamond, Malcolm L. (Malcolm Luria), 1924-1997, compiler.</t>
        </is>
      </c>
      <c r="N304" t="inlineStr">
        <is>
          <t>Indianapolis, Bobbs-Merrill [1975]</t>
        </is>
      </c>
      <c r="O304" t="inlineStr">
        <is>
          <t>1975</t>
        </is>
      </c>
      <c r="P304" t="inlineStr">
        <is>
          <t>[1st ed.]</t>
        </is>
      </c>
      <c r="Q304" t="inlineStr">
        <is>
          <t>eng</t>
        </is>
      </c>
      <c r="R304" t="inlineStr">
        <is>
          <t>inu</t>
        </is>
      </c>
      <c r="T304" t="inlineStr">
        <is>
          <t xml:space="preserve">BL </t>
        </is>
      </c>
      <c r="U304" t="n">
        <v>2</v>
      </c>
      <c r="V304" t="n">
        <v>2</v>
      </c>
      <c r="W304" t="inlineStr">
        <is>
          <t>2004-11-21</t>
        </is>
      </c>
      <c r="X304" t="inlineStr">
        <is>
          <t>2004-11-21</t>
        </is>
      </c>
      <c r="Y304" t="inlineStr">
        <is>
          <t>1990-09-25</t>
        </is>
      </c>
      <c r="Z304" t="inlineStr">
        <is>
          <t>1990-09-25</t>
        </is>
      </c>
      <c r="AA304" t="n">
        <v>287</v>
      </c>
      <c r="AB304" t="n">
        <v>228</v>
      </c>
      <c r="AC304" t="n">
        <v>235</v>
      </c>
      <c r="AD304" t="n">
        <v>1</v>
      </c>
      <c r="AE304" t="n">
        <v>1</v>
      </c>
      <c r="AF304" t="n">
        <v>9</v>
      </c>
      <c r="AG304" t="n">
        <v>9</v>
      </c>
      <c r="AH304" t="n">
        <v>3</v>
      </c>
      <c r="AI304" t="n">
        <v>3</v>
      </c>
      <c r="AJ304" t="n">
        <v>1</v>
      </c>
      <c r="AK304" t="n">
        <v>1</v>
      </c>
      <c r="AL304" t="n">
        <v>8</v>
      </c>
      <c r="AM304" t="n">
        <v>8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HYPERLINK("http://catalog.hathitrust.org/Record/000036829","HathiTrust Record")</f>
        <v/>
      </c>
      <c r="AU304">
        <f>HYPERLINK("https://creighton-primo.hosted.exlibrisgroup.com/primo-explore/search?tab=default_tab&amp;search_scope=EVERYTHING&amp;vid=01CRU&amp;lang=en_US&amp;offset=0&amp;query=any,contains,991003565539702656","Catalog Record")</f>
        <v/>
      </c>
      <c r="AV304">
        <f>HYPERLINK("http://www.worldcat.org/oclc/1138004","WorldCat Record")</f>
        <v/>
      </c>
      <c r="AW304" t="inlineStr">
        <is>
          <t>2057244:eng</t>
        </is>
      </c>
      <c r="AX304" t="inlineStr">
        <is>
          <t>1138004</t>
        </is>
      </c>
      <c r="AY304" t="inlineStr">
        <is>
          <t>991003565539702656</t>
        </is>
      </c>
      <c r="AZ304" t="inlineStr">
        <is>
          <t>991003565539702656</t>
        </is>
      </c>
      <c r="BA304" t="inlineStr">
        <is>
          <t>2270100960002656</t>
        </is>
      </c>
      <c r="BB304" t="inlineStr">
        <is>
          <t>BOOK</t>
        </is>
      </c>
      <c r="BD304" t="inlineStr">
        <is>
          <t>9780672607929</t>
        </is>
      </c>
      <c r="BE304" t="inlineStr">
        <is>
          <t>32285000309657</t>
        </is>
      </c>
      <c r="BF304" t="inlineStr">
        <is>
          <t>893524955</t>
        </is>
      </c>
    </row>
    <row r="305">
      <c r="A305" t="inlineStr">
        <is>
          <t>No</t>
        </is>
      </c>
      <c r="B305" t="inlineStr">
        <is>
          <t>CURAL</t>
        </is>
      </c>
      <c r="C305" t="inlineStr">
        <is>
          <t>SHELVES</t>
        </is>
      </c>
      <c r="D305" t="inlineStr">
        <is>
          <t>BL51 .F39</t>
        </is>
      </c>
      <c r="E305" t="inlineStr">
        <is>
          <t>0                      BL 0051000F  39</t>
        </is>
      </c>
      <c r="F305" t="inlineStr">
        <is>
          <t>Religion in philosophical and cultural perspective; a new approach to the philosophy of religion through cross-disciplinary studies, ed. by J. Clayton Feaver and William Horosz.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Feaver, J. Clayton (John Clayton), editor.</t>
        </is>
      </c>
      <c r="N305" t="inlineStr">
        <is>
          <t>Princeton, N.J., D. Van Nostrand [1967]</t>
        </is>
      </c>
      <c r="O305" t="inlineStr">
        <is>
          <t>1967</t>
        </is>
      </c>
      <c r="Q305" t="inlineStr">
        <is>
          <t>eng</t>
        </is>
      </c>
      <c r="R305" t="inlineStr">
        <is>
          <t>___</t>
        </is>
      </c>
      <c r="T305" t="inlineStr">
        <is>
          <t xml:space="preserve">BL </t>
        </is>
      </c>
      <c r="U305" t="n">
        <v>1</v>
      </c>
      <c r="V305" t="n">
        <v>1</v>
      </c>
      <c r="W305" t="inlineStr">
        <is>
          <t>2005-04-27</t>
        </is>
      </c>
      <c r="X305" t="inlineStr">
        <is>
          <t>2005-04-27</t>
        </is>
      </c>
      <c r="Y305" t="inlineStr">
        <is>
          <t>1990-09-25</t>
        </is>
      </c>
      <c r="Z305" t="inlineStr">
        <is>
          <t>1990-09-25</t>
        </is>
      </c>
      <c r="AA305" t="n">
        <v>523</v>
      </c>
      <c r="AB305" t="n">
        <v>437</v>
      </c>
      <c r="AC305" t="n">
        <v>444</v>
      </c>
      <c r="AD305" t="n">
        <v>4</v>
      </c>
      <c r="AE305" t="n">
        <v>4</v>
      </c>
      <c r="AF305" t="n">
        <v>21</v>
      </c>
      <c r="AG305" t="n">
        <v>21</v>
      </c>
      <c r="AH305" t="n">
        <v>7</v>
      </c>
      <c r="AI305" t="n">
        <v>7</v>
      </c>
      <c r="AJ305" t="n">
        <v>4</v>
      </c>
      <c r="AK305" t="n">
        <v>4</v>
      </c>
      <c r="AL305" t="n">
        <v>15</v>
      </c>
      <c r="AM305" t="n">
        <v>15</v>
      </c>
      <c r="AN305" t="n">
        <v>2</v>
      </c>
      <c r="AO305" t="n">
        <v>2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HYPERLINK("http://catalog.hathitrust.org/Record/001391233","HathiTrust Record")</f>
        <v/>
      </c>
      <c r="AU305">
        <f>HYPERLINK("https://creighton-primo.hosted.exlibrisgroup.com/primo-explore/search?tab=default_tab&amp;search_scope=EVERYTHING&amp;vid=01CRU&amp;lang=en_US&amp;offset=0&amp;query=any,contains,991003268659702656","Catalog Record")</f>
        <v/>
      </c>
      <c r="AV305">
        <f>HYPERLINK("http://www.worldcat.org/oclc/6567091","WorldCat Record")</f>
        <v/>
      </c>
      <c r="AW305" t="inlineStr">
        <is>
          <t>22916316:eng</t>
        </is>
      </c>
      <c r="AX305" t="inlineStr">
        <is>
          <t>6567091</t>
        </is>
      </c>
      <c r="AY305" t="inlineStr">
        <is>
          <t>991003268659702656</t>
        </is>
      </c>
      <c r="AZ305" t="inlineStr">
        <is>
          <t>991003268659702656</t>
        </is>
      </c>
      <c r="BA305" t="inlineStr">
        <is>
          <t>2263793200002656</t>
        </is>
      </c>
      <c r="BB305" t="inlineStr">
        <is>
          <t>BOOK</t>
        </is>
      </c>
      <c r="BE305" t="inlineStr">
        <is>
          <t>32285000309707</t>
        </is>
      </c>
      <c r="BF305" t="inlineStr">
        <is>
          <t>893240039</t>
        </is>
      </c>
    </row>
    <row r="306">
      <c r="A306" t="inlineStr">
        <is>
          <t>No</t>
        </is>
      </c>
      <c r="B306" t="inlineStr">
        <is>
          <t>CURAL</t>
        </is>
      </c>
      <c r="C306" t="inlineStr">
        <is>
          <t>SHELVES</t>
        </is>
      </c>
      <c r="D306" t="inlineStr">
        <is>
          <t>BL51 .F48</t>
        </is>
      </c>
      <c r="E306" t="inlineStr">
        <is>
          <t>0                      BL 0051000F  48</t>
        </is>
      </c>
      <c r="F306" t="inlineStr">
        <is>
          <t>Basic modern philosophy of religion.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M306" t="inlineStr">
        <is>
          <t>Ferré, Frederick.</t>
        </is>
      </c>
      <c r="N306" t="inlineStr">
        <is>
          <t>New York, Scribner [1967]</t>
        </is>
      </c>
      <c r="O306" t="inlineStr">
        <is>
          <t>1967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BL </t>
        </is>
      </c>
      <c r="U306" t="n">
        <v>1</v>
      </c>
      <c r="V306" t="n">
        <v>1</v>
      </c>
      <c r="W306" t="inlineStr">
        <is>
          <t>2004-11-29</t>
        </is>
      </c>
      <c r="X306" t="inlineStr">
        <is>
          <t>2004-11-29</t>
        </is>
      </c>
      <c r="Y306" t="inlineStr">
        <is>
          <t>1990-09-25</t>
        </is>
      </c>
      <c r="Z306" t="inlineStr">
        <is>
          <t>1990-09-25</t>
        </is>
      </c>
      <c r="AA306" t="n">
        <v>868</v>
      </c>
      <c r="AB306" t="n">
        <v>756</v>
      </c>
      <c r="AC306" t="n">
        <v>1041</v>
      </c>
      <c r="AD306" t="n">
        <v>6</v>
      </c>
      <c r="AE306" t="n">
        <v>9</v>
      </c>
      <c r="AF306" t="n">
        <v>32</v>
      </c>
      <c r="AG306" t="n">
        <v>46</v>
      </c>
      <c r="AH306" t="n">
        <v>12</v>
      </c>
      <c r="AI306" t="n">
        <v>18</v>
      </c>
      <c r="AJ306" t="n">
        <v>4</v>
      </c>
      <c r="AK306" t="n">
        <v>8</v>
      </c>
      <c r="AL306" t="n">
        <v>20</v>
      </c>
      <c r="AM306" t="n">
        <v>22</v>
      </c>
      <c r="AN306" t="n">
        <v>4</v>
      </c>
      <c r="AO306" t="n">
        <v>7</v>
      </c>
      <c r="AP306" t="n">
        <v>0</v>
      </c>
      <c r="AQ306" t="n">
        <v>1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HYPERLINK("http://catalog.hathitrust.org/Record/001391235","HathiTrust Record")</f>
        <v/>
      </c>
      <c r="AU306">
        <f>HYPERLINK("https://creighton-primo.hosted.exlibrisgroup.com/primo-explore/search?tab=default_tab&amp;search_scope=EVERYTHING&amp;vid=01CRU&amp;lang=en_US&amp;offset=0&amp;query=any,contains,991002326129702656","Catalog Record")</f>
        <v/>
      </c>
      <c r="AV306">
        <f>HYPERLINK("http://www.worldcat.org/oclc/320918","WorldCat Record")</f>
        <v/>
      </c>
      <c r="AW306" t="inlineStr">
        <is>
          <t>1400691:eng</t>
        </is>
      </c>
      <c r="AX306" t="inlineStr">
        <is>
          <t>320918</t>
        </is>
      </c>
      <c r="AY306" t="inlineStr">
        <is>
          <t>991002326129702656</t>
        </is>
      </c>
      <c r="AZ306" t="inlineStr">
        <is>
          <t>991002326129702656</t>
        </is>
      </c>
      <c r="BA306" t="inlineStr">
        <is>
          <t>2255898130002656</t>
        </is>
      </c>
      <c r="BB306" t="inlineStr">
        <is>
          <t>BOOK</t>
        </is>
      </c>
      <c r="BE306" t="inlineStr">
        <is>
          <t>32285000309715</t>
        </is>
      </c>
      <c r="BF306" t="inlineStr">
        <is>
          <t>893510599</t>
        </is>
      </c>
    </row>
    <row r="307">
      <c r="A307" t="inlineStr">
        <is>
          <t>No</t>
        </is>
      </c>
      <c r="B307" t="inlineStr">
        <is>
          <t>CURAL</t>
        </is>
      </c>
      <c r="C307" t="inlineStr">
        <is>
          <t>SHELVES</t>
        </is>
      </c>
      <c r="D307" t="inlineStr">
        <is>
          <t>BL51 .F68 1966</t>
        </is>
      </c>
      <c r="E307" t="inlineStr">
        <is>
          <t>0                      BL 0051000F  68          1966</t>
        </is>
      </c>
      <c r="F307" t="inlineStr">
        <is>
          <t>Philosophical understanding and religious truth / Erich Frank.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M307" t="inlineStr">
        <is>
          <t>Frank, Erich, 1883-1949.</t>
        </is>
      </c>
      <c r="N307" t="inlineStr">
        <is>
          <t>New York : Oxford University Press, 1966, c1945.</t>
        </is>
      </c>
      <c r="O307" t="inlineStr">
        <is>
          <t>1966</t>
        </is>
      </c>
      <c r="Q307" t="inlineStr">
        <is>
          <t>eng</t>
        </is>
      </c>
      <c r="R307" t="inlineStr">
        <is>
          <t>nyu</t>
        </is>
      </c>
      <c r="S307" t="inlineStr">
        <is>
          <t>A Galaxy book</t>
        </is>
      </c>
      <c r="T307" t="inlineStr">
        <is>
          <t xml:space="preserve">BL </t>
        </is>
      </c>
      <c r="U307" t="n">
        <v>2</v>
      </c>
      <c r="V307" t="n">
        <v>2</v>
      </c>
      <c r="W307" t="inlineStr">
        <is>
          <t>2005-04-25</t>
        </is>
      </c>
      <c r="X307" t="inlineStr">
        <is>
          <t>2005-04-25</t>
        </is>
      </c>
      <c r="Y307" t="inlineStr">
        <is>
          <t>1990-09-25</t>
        </is>
      </c>
      <c r="Z307" t="inlineStr">
        <is>
          <t>1990-09-25</t>
        </is>
      </c>
      <c r="AA307" t="n">
        <v>120</v>
      </c>
      <c r="AB307" t="n">
        <v>72</v>
      </c>
      <c r="AC307" t="n">
        <v>748</v>
      </c>
      <c r="AD307" t="n">
        <v>1</v>
      </c>
      <c r="AE307" t="n">
        <v>4</v>
      </c>
      <c r="AF307" t="n">
        <v>4</v>
      </c>
      <c r="AG307" t="n">
        <v>35</v>
      </c>
      <c r="AH307" t="n">
        <v>2</v>
      </c>
      <c r="AI307" t="n">
        <v>16</v>
      </c>
      <c r="AJ307" t="n">
        <v>1</v>
      </c>
      <c r="AK307" t="n">
        <v>9</v>
      </c>
      <c r="AL307" t="n">
        <v>3</v>
      </c>
      <c r="AM307" t="n">
        <v>19</v>
      </c>
      <c r="AN307" t="n">
        <v>0</v>
      </c>
      <c r="AO307" t="n">
        <v>3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HYPERLINK("https://creighton-primo.hosted.exlibrisgroup.com/primo-explore/search?tab=default_tab&amp;search_scope=EVERYTHING&amp;vid=01CRU&amp;lang=en_US&amp;offset=0&amp;query=any,contains,991004711939702656","Catalog Record")</f>
        <v/>
      </c>
      <c r="AV307">
        <f>HYPERLINK("http://www.worldcat.org/oclc/4773421","WorldCat Record")</f>
        <v/>
      </c>
      <c r="AW307" t="inlineStr">
        <is>
          <t>483626:eng</t>
        </is>
      </c>
      <c r="AX307" t="inlineStr">
        <is>
          <t>4773421</t>
        </is>
      </c>
      <c r="AY307" t="inlineStr">
        <is>
          <t>991004711939702656</t>
        </is>
      </c>
      <c r="AZ307" t="inlineStr">
        <is>
          <t>991004711939702656</t>
        </is>
      </c>
      <c r="BA307" t="inlineStr">
        <is>
          <t>2255685250002656</t>
        </is>
      </c>
      <c r="BB307" t="inlineStr">
        <is>
          <t>BOOK</t>
        </is>
      </c>
      <c r="BE307" t="inlineStr">
        <is>
          <t>32285000309723</t>
        </is>
      </c>
      <c r="BF307" t="inlineStr">
        <is>
          <t>893513573</t>
        </is>
      </c>
    </row>
    <row r="308">
      <c r="A308" t="inlineStr">
        <is>
          <t>No</t>
        </is>
      </c>
      <c r="B308" t="inlineStr">
        <is>
          <t>CURAL</t>
        </is>
      </c>
      <c r="C308" t="inlineStr">
        <is>
          <t>SHELVES</t>
        </is>
      </c>
      <c r="D308" t="inlineStr">
        <is>
          <t>BL51 .G57 1970b</t>
        </is>
      </c>
      <c r="E308" t="inlineStr">
        <is>
          <t>0                      BL 0051000G  57          1970b</t>
        </is>
      </c>
      <c r="F308" t="inlineStr">
        <is>
          <t>Theism and empiricism, by A. Boyce Gibson.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M308" t="inlineStr">
        <is>
          <t>Gibson, A. Boyce (Alexander Boyce), 1900-1972.</t>
        </is>
      </c>
      <c r="N308" t="inlineStr">
        <is>
          <t>New York, Schocken Books [1970]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BL </t>
        </is>
      </c>
      <c r="U308" t="n">
        <v>1</v>
      </c>
      <c r="V308" t="n">
        <v>1</v>
      </c>
      <c r="W308" t="inlineStr">
        <is>
          <t>2009-10-14</t>
        </is>
      </c>
      <c r="X308" t="inlineStr">
        <is>
          <t>2009-10-14</t>
        </is>
      </c>
      <c r="Y308" t="inlineStr">
        <is>
          <t>1990-09-25</t>
        </is>
      </c>
      <c r="Z308" t="inlineStr">
        <is>
          <t>1990-09-25</t>
        </is>
      </c>
      <c r="AA308" t="n">
        <v>389</v>
      </c>
      <c r="AB308" t="n">
        <v>362</v>
      </c>
      <c r="AC308" t="n">
        <v>420</v>
      </c>
      <c r="AD308" t="n">
        <v>4</v>
      </c>
      <c r="AE308" t="n">
        <v>4</v>
      </c>
      <c r="AF308" t="n">
        <v>24</v>
      </c>
      <c r="AG308" t="n">
        <v>27</v>
      </c>
      <c r="AH308" t="n">
        <v>9</v>
      </c>
      <c r="AI308" t="n">
        <v>9</v>
      </c>
      <c r="AJ308" t="n">
        <v>5</v>
      </c>
      <c r="AK308" t="n">
        <v>7</v>
      </c>
      <c r="AL308" t="n">
        <v>14</v>
      </c>
      <c r="AM308" t="n">
        <v>17</v>
      </c>
      <c r="AN308" t="n">
        <v>3</v>
      </c>
      <c r="AO308" t="n">
        <v>3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HYPERLINK("http://catalog.hathitrust.org/Record/001391243","HathiTrust Record")</f>
        <v/>
      </c>
      <c r="AU308">
        <f>HYPERLINK("https://creighton-primo.hosted.exlibrisgroup.com/primo-explore/search?tab=default_tab&amp;search_scope=EVERYTHING&amp;vid=01CRU&amp;lang=en_US&amp;offset=0&amp;query=any,contains,991000597019702656","Catalog Record")</f>
        <v/>
      </c>
      <c r="AV308">
        <f>HYPERLINK("http://www.worldcat.org/oclc/97329","WorldCat Record")</f>
        <v/>
      </c>
      <c r="AW308" t="inlineStr">
        <is>
          <t>1325003:eng</t>
        </is>
      </c>
      <c r="AX308" t="inlineStr">
        <is>
          <t>97329</t>
        </is>
      </c>
      <c r="AY308" t="inlineStr">
        <is>
          <t>991000597019702656</t>
        </is>
      </c>
      <c r="AZ308" t="inlineStr">
        <is>
          <t>991000597019702656</t>
        </is>
      </c>
      <c r="BA308" t="inlineStr">
        <is>
          <t>2269859200002656</t>
        </is>
      </c>
      <c r="BB308" t="inlineStr">
        <is>
          <t>BOOK</t>
        </is>
      </c>
      <c r="BD308" t="inlineStr">
        <is>
          <t>9780805233575</t>
        </is>
      </c>
      <c r="BE308" t="inlineStr">
        <is>
          <t>32285000309731</t>
        </is>
      </c>
      <c r="BF308" t="inlineStr">
        <is>
          <t>893237437</t>
        </is>
      </c>
    </row>
    <row r="309">
      <c r="A309" t="inlineStr">
        <is>
          <t>No</t>
        </is>
      </c>
      <c r="B309" t="inlineStr">
        <is>
          <t>CURAL</t>
        </is>
      </c>
      <c r="C309" t="inlineStr">
        <is>
          <t>SHELVES</t>
        </is>
      </c>
      <c r="D309" t="inlineStr">
        <is>
          <t>BL51 .G684 1996</t>
        </is>
      </c>
      <c r="E309" t="inlineStr">
        <is>
          <t>0                      BL 0051000G  684         1996</t>
        </is>
      </c>
      <c r="F309" t="inlineStr">
        <is>
          <t>God, philosophy, and academic culture : a discussion between scholars in the AAR and the APA / edited by William J. Wainwright.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Atlanta, Ga. : Scholars Press, c1996.</t>
        </is>
      </c>
      <c r="O309" t="inlineStr">
        <is>
          <t>1996</t>
        </is>
      </c>
      <c r="Q309" t="inlineStr">
        <is>
          <t>eng</t>
        </is>
      </c>
      <c r="R309" t="inlineStr">
        <is>
          <t>gau</t>
        </is>
      </c>
      <c r="S309" t="inlineStr">
        <is>
          <t>AAR reflection and theory in the study of religion ; no. 11</t>
        </is>
      </c>
      <c r="T309" t="inlineStr">
        <is>
          <t xml:space="preserve">BL </t>
        </is>
      </c>
      <c r="U309" t="n">
        <v>5</v>
      </c>
      <c r="V309" t="n">
        <v>5</v>
      </c>
      <c r="W309" t="inlineStr">
        <is>
          <t>2005-04-28</t>
        </is>
      </c>
      <c r="X309" t="inlineStr">
        <is>
          <t>2005-04-28</t>
        </is>
      </c>
      <c r="Y309" t="inlineStr">
        <is>
          <t>1997-02-07</t>
        </is>
      </c>
      <c r="Z309" t="inlineStr">
        <is>
          <t>1997-02-07</t>
        </is>
      </c>
      <c r="AA309" t="n">
        <v>253</v>
      </c>
      <c r="AB309" t="n">
        <v>212</v>
      </c>
      <c r="AC309" t="n">
        <v>213</v>
      </c>
      <c r="AD309" t="n">
        <v>2</v>
      </c>
      <c r="AE309" t="n">
        <v>2</v>
      </c>
      <c r="AF309" t="n">
        <v>12</v>
      </c>
      <c r="AG309" t="n">
        <v>12</v>
      </c>
      <c r="AH309" t="n">
        <v>2</v>
      </c>
      <c r="AI309" t="n">
        <v>2</v>
      </c>
      <c r="AJ309" t="n">
        <v>5</v>
      </c>
      <c r="AK309" t="n">
        <v>5</v>
      </c>
      <c r="AL309" t="n">
        <v>6</v>
      </c>
      <c r="AM309" t="n">
        <v>6</v>
      </c>
      <c r="AN309" t="n">
        <v>1</v>
      </c>
      <c r="AO309" t="n">
        <v>1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HYPERLINK("http://catalog.hathitrust.org/Record/003165198","HathiTrust Record")</f>
        <v/>
      </c>
      <c r="AU309">
        <f>HYPERLINK("https://creighton-primo.hosted.exlibrisgroup.com/primo-explore/search?tab=default_tab&amp;search_scope=EVERYTHING&amp;vid=01CRU&amp;lang=en_US&amp;offset=0&amp;query=any,contains,991002682689702656","Catalog Record")</f>
        <v/>
      </c>
      <c r="AV309">
        <f>HYPERLINK("http://www.worldcat.org/oclc/35049591","WorldCat Record")</f>
        <v/>
      </c>
      <c r="AW309" t="inlineStr">
        <is>
          <t>1052094:eng</t>
        </is>
      </c>
      <c r="AX309" t="inlineStr">
        <is>
          <t>35049591</t>
        </is>
      </c>
      <c r="AY309" t="inlineStr">
        <is>
          <t>991002682689702656</t>
        </is>
      </c>
      <c r="AZ309" t="inlineStr">
        <is>
          <t>991002682689702656</t>
        </is>
      </c>
      <c r="BA309" t="inlineStr">
        <is>
          <t>2271107350002656</t>
        </is>
      </c>
      <c r="BB309" t="inlineStr">
        <is>
          <t>BOOK</t>
        </is>
      </c>
      <c r="BD309" t="inlineStr">
        <is>
          <t>9780788503016</t>
        </is>
      </c>
      <c r="BE309" t="inlineStr">
        <is>
          <t>32285002398773</t>
        </is>
      </c>
      <c r="BF309" t="inlineStr">
        <is>
          <t>893798874</t>
        </is>
      </c>
    </row>
    <row r="310">
      <c r="A310" t="inlineStr">
        <is>
          <t>No</t>
        </is>
      </c>
      <c r="B310" t="inlineStr">
        <is>
          <t>CURAL</t>
        </is>
      </c>
      <c r="C310" t="inlineStr">
        <is>
          <t>SHELVES</t>
        </is>
      </c>
      <c r="D310" t="inlineStr">
        <is>
          <t>BL51 .G69 1989</t>
        </is>
      </c>
      <c r="E310" t="inlineStr">
        <is>
          <t>0                      BL 0051000G  69          1989</t>
        </is>
      </c>
      <c r="F310" t="inlineStr">
        <is>
          <t>Religion, interpretation, and diversity of belief : the framework model from Kant to Durkheim to Davidson / Terry F. Godlove, Jr.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Godlove, Terry F.</t>
        </is>
      </c>
      <c r="N310" t="inlineStr">
        <is>
          <t>Cambridge [England] ; New York : Cambridge University Press, 1989.</t>
        </is>
      </c>
      <c r="O310" t="inlineStr">
        <is>
          <t>1989</t>
        </is>
      </c>
      <c r="Q310" t="inlineStr">
        <is>
          <t>eng</t>
        </is>
      </c>
      <c r="R310" t="inlineStr">
        <is>
          <t>enk</t>
        </is>
      </c>
      <c r="T310" t="inlineStr">
        <is>
          <t xml:space="preserve">BL </t>
        </is>
      </c>
      <c r="U310" t="n">
        <v>4</v>
      </c>
      <c r="V310" t="n">
        <v>4</v>
      </c>
      <c r="W310" t="inlineStr">
        <is>
          <t>1993-05-07</t>
        </is>
      </c>
      <c r="X310" t="inlineStr">
        <is>
          <t>1993-05-07</t>
        </is>
      </c>
      <c r="Y310" t="inlineStr">
        <is>
          <t>1992-03-06</t>
        </is>
      </c>
      <c r="Z310" t="inlineStr">
        <is>
          <t>1992-03-06</t>
        </is>
      </c>
      <c r="AA310" t="n">
        <v>439</v>
      </c>
      <c r="AB310" t="n">
        <v>327</v>
      </c>
      <c r="AC310" t="n">
        <v>373</v>
      </c>
      <c r="AD310" t="n">
        <v>2</v>
      </c>
      <c r="AE310" t="n">
        <v>2</v>
      </c>
      <c r="AF310" t="n">
        <v>19</v>
      </c>
      <c r="AG310" t="n">
        <v>24</v>
      </c>
      <c r="AH310" t="n">
        <v>7</v>
      </c>
      <c r="AI310" t="n">
        <v>9</v>
      </c>
      <c r="AJ310" t="n">
        <v>5</v>
      </c>
      <c r="AK310" t="n">
        <v>7</v>
      </c>
      <c r="AL310" t="n">
        <v>13</v>
      </c>
      <c r="AM310" t="n">
        <v>14</v>
      </c>
      <c r="AN310" t="n">
        <v>1</v>
      </c>
      <c r="AO310" t="n">
        <v>1</v>
      </c>
      <c r="AP310" t="n">
        <v>0</v>
      </c>
      <c r="AQ310" t="n">
        <v>1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HYPERLINK("http://catalog.hathitrust.org/Record/001538098","HathiTrust Record")</f>
        <v/>
      </c>
      <c r="AU310">
        <f>HYPERLINK("https://creighton-primo.hosted.exlibrisgroup.com/primo-explore/search?tab=default_tab&amp;search_scope=EVERYTHING&amp;vid=01CRU&amp;lang=en_US&amp;offset=0&amp;query=any,contains,991001414689702656","Catalog Record")</f>
        <v/>
      </c>
      <c r="AV310">
        <f>HYPERLINK("http://www.worldcat.org/oclc/18947562","WorldCat Record")</f>
        <v/>
      </c>
      <c r="AW310" t="inlineStr">
        <is>
          <t>836761494:eng</t>
        </is>
      </c>
      <c r="AX310" t="inlineStr">
        <is>
          <t>18947562</t>
        </is>
      </c>
      <c r="AY310" t="inlineStr">
        <is>
          <t>991001414689702656</t>
        </is>
      </c>
      <c r="AZ310" t="inlineStr">
        <is>
          <t>991001414689702656</t>
        </is>
      </c>
      <c r="BA310" t="inlineStr">
        <is>
          <t>2269616430002656</t>
        </is>
      </c>
      <c r="BB310" t="inlineStr">
        <is>
          <t>BOOK</t>
        </is>
      </c>
      <c r="BD310" t="inlineStr">
        <is>
          <t>9780521361798</t>
        </is>
      </c>
      <c r="BE310" t="inlineStr">
        <is>
          <t>32285000937655</t>
        </is>
      </c>
      <c r="BF310" t="inlineStr">
        <is>
          <t>893244122</t>
        </is>
      </c>
    </row>
    <row r="311">
      <c r="A311" t="inlineStr">
        <is>
          <t>No</t>
        </is>
      </c>
      <c r="B311" t="inlineStr">
        <is>
          <t>CURAL</t>
        </is>
      </c>
      <c r="C311" t="inlineStr">
        <is>
          <t>SHELVES</t>
        </is>
      </c>
      <c r="D311" t="inlineStr">
        <is>
          <t>BL51 .G712</t>
        </is>
      </c>
      <c r="E311" t="inlineStr">
        <is>
          <t>0                      BL 0051000G  712</t>
        </is>
      </c>
      <c r="F311" t="inlineStr">
        <is>
          <t>An introduction to the philosophy of religion [by] J. L. Goodall.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Goodall, J. L.</t>
        </is>
      </c>
      <c r="N311" t="inlineStr">
        <is>
          <t>London, Longmans, 1966.</t>
        </is>
      </c>
      <c r="O311" t="inlineStr">
        <is>
          <t>1966</t>
        </is>
      </c>
      <c r="Q311" t="inlineStr">
        <is>
          <t>eng</t>
        </is>
      </c>
      <c r="R311" t="inlineStr">
        <is>
          <t>enk</t>
        </is>
      </c>
      <c r="S311" t="inlineStr">
        <is>
          <t>Education today</t>
        </is>
      </c>
      <c r="T311" t="inlineStr">
        <is>
          <t xml:space="preserve">BL </t>
        </is>
      </c>
      <c r="U311" t="n">
        <v>3</v>
      </c>
      <c r="V311" t="n">
        <v>3</v>
      </c>
      <c r="W311" t="inlineStr">
        <is>
          <t>2005-04-28</t>
        </is>
      </c>
      <c r="X311" t="inlineStr">
        <is>
          <t>2005-04-28</t>
        </is>
      </c>
      <c r="Y311" t="inlineStr">
        <is>
          <t>1990-09-25</t>
        </is>
      </c>
      <c r="Z311" t="inlineStr">
        <is>
          <t>1990-09-25</t>
        </is>
      </c>
      <c r="AA311" t="n">
        <v>235</v>
      </c>
      <c r="AB311" t="n">
        <v>153</v>
      </c>
      <c r="AC311" t="n">
        <v>155</v>
      </c>
      <c r="AD311" t="n">
        <v>2</v>
      </c>
      <c r="AE311" t="n">
        <v>2</v>
      </c>
      <c r="AF311" t="n">
        <v>6</v>
      </c>
      <c r="AG311" t="n">
        <v>6</v>
      </c>
      <c r="AH311" t="n">
        <v>0</v>
      </c>
      <c r="AI311" t="n">
        <v>0</v>
      </c>
      <c r="AJ311" t="n">
        <v>1</v>
      </c>
      <c r="AK311" t="n">
        <v>1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HYPERLINK("http://catalog.hathitrust.org/Record/006501229","HathiTrust Record")</f>
        <v/>
      </c>
      <c r="AU311">
        <f>HYPERLINK("https://creighton-primo.hosted.exlibrisgroup.com/primo-explore/search?tab=default_tab&amp;search_scope=EVERYTHING&amp;vid=01CRU&amp;lang=en_US&amp;offset=0&amp;query=any,contains,991003051139702656","Catalog Record")</f>
        <v/>
      </c>
      <c r="AV311">
        <f>HYPERLINK("http://www.worldcat.org/oclc/610832","WorldCat Record")</f>
        <v/>
      </c>
      <c r="AW311" t="inlineStr">
        <is>
          <t>1644514:eng</t>
        </is>
      </c>
      <c r="AX311" t="inlineStr">
        <is>
          <t>610832</t>
        </is>
      </c>
      <c r="AY311" t="inlineStr">
        <is>
          <t>991003051139702656</t>
        </is>
      </c>
      <c r="AZ311" t="inlineStr">
        <is>
          <t>991003051139702656</t>
        </is>
      </c>
      <c r="BA311" t="inlineStr">
        <is>
          <t>2265495540002656</t>
        </is>
      </c>
      <c r="BB311" t="inlineStr">
        <is>
          <t>BOOK</t>
        </is>
      </c>
      <c r="BE311" t="inlineStr">
        <is>
          <t>32285000309756</t>
        </is>
      </c>
      <c r="BF311" t="inlineStr">
        <is>
          <t>893535323</t>
        </is>
      </c>
    </row>
    <row r="312">
      <c r="A312" t="inlineStr">
        <is>
          <t>No</t>
        </is>
      </c>
      <c r="B312" t="inlineStr">
        <is>
          <t>CURAL</t>
        </is>
      </c>
      <c r="C312" t="inlineStr">
        <is>
          <t>SHELVES</t>
        </is>
      </c>
      <c r="D312" t="inlineStr">
        <is>
          <t>BL51 .G743</t>
        </is>
      </c>
      <c r="E312" t="inlineStr">
        <is>
          <t>0                      BL 0051000G  743</t>
        </is>
      </c>
      <c r="F312" t="inlineStr">
        <is>
          <t>Beyond the new theism : a philosophy of religion / Germain Grisez.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Grisez, Germain Gabriel, 1929-2018.</t>
        </is>
      </c>
      <c r="N312" t="inlineStr">
        <is>
          <t>Notre Dame [Ind.] : University of Notre Dame Press, [1975]</t>
        </is>
      </c>
      <c r="O312" t="inlineStr">
        <is>
          <t>1975</t>
        </is>
      </c>
      <c r="Q312" t="inlineStr">
        <is>
          <t>eng</t>
        </is>
      </c>
      <c r="R312" t="inlineStr">
        <is>
          <t>inu</t>
        </is>
      </c>
      <c r="T312" t="inlineStr">
        <is>
          <t xml:space="preserve">BL </t>
        </is>
      </c>
      <c r="U312" t="n">
        <v>1</v>
      </c>
      <c r="V312" t="n">
        <v>1</v>
      </c>
      <c r="W312" t="inlineStr">
        <is>
          <t>2005-07-06</t>
        </is>
      </c>
      <c r="X312" t="inlineStr">
        <is>
          <t>2005-07-06</t>
        </is>
      </c>
      <c r="Y312" t="inlineStr">
        <is>
          <t>1990-09-25</t>
        </is>
      </c>
      <c r="Z312" t="inlineStr">
        <is>
          <t>1990-09-25</t>
        </is>
      </c>
      <c r="AA312" t="n">
        <v>640</v>
      </c>
      <c r="AB312" t="n">
        <v>527</v>
      </c>
      <c r="AC312" t="n">
        <v>535</v>
      </c>
      <c r="AD312" t="n">
        <v>4</v>
      </c>
      <c r="AE312" t="n">
        <v>4</v>
      </c>
      <c r="AF312" t="n">
        <v>34</v>
      </c>
      <c r="AG312" t="n">
        <v>34</v>
      </c>
      <c r="AH312" t="n">
        <v>11</v>
      </c>
      <c r="AI312" t="n">
        <v>11</v>
      </c>
      <c r="AJ312" t="n">
        <v>9</v>
      </c>
      <c r="AK312" t="n">
        <v>9</v>
      </c>
      <c r="AL312" t="n">
        <v>22</v>
      </c>
      <c r="AM312" t="n">
        <v>22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HYPERLINK("http://catalog.hathitrust.org/Record/000020116","HathiTrust Record")</f>
        <v/>
      </c>
      <c r="AU312">
        <f>HYPERLINK("https://creighton-primo.hosted.exlibrisgroup.com/primo-explore/search?tab=default_tab&amp;search_scope=EVERYTHING&amp;vid=01CRU&amp;lang=en_US&amp;offset=0&amp;query=any,contains,991003626749702656","Catalog Record")</f>
        <v/>
      </c>
      <c r="AV312">
        <f>HYPERLINK("http://www.worldcat.org/oclc/1217484","WorldCat Record")</f>
        <v/>
      </c>
      <c r="AW312" t="inlineStr">
        <is>
          <t>430478:eng</t>
        </is>
      </c>
      <c r="AX312" t="inlineStr">
        <is>
          <t>1217484</t>
        </is>
      </c>
      <c r="AY312" t="inlineStr">
        <is>
          <t>991003626749702656</t>
        </is>
      </c>
      <c r="AZ312" t="inlineStr">
        <is>
          <t>991003626749702656</t>
        </is>
      </c>
      <c r="BA312" t="inlineStr">
        <is>
          <t>2272308950002656</t>
        </is>
      </c>
      <c r="BB312" t="inlineStr">
        <is>
          <t>BOOK</t>
        </is>
      </c>
      <c r="BD312" t="inlineStr">
        <is>
          <t>9780268005672</t>
        </is>
      </c>
      <c r="BE312" t="inlineStr">
        <is>
          <t>32285000309772</t>
        </is>
      </c>
      <c r="BF312" t="inlineStr">
        <is>
          <t>893342778</t>
        </is>
      </c>
    </row>
    <row r="313">
      <c r="A313" t="inlineStr">
        <is>
          <t>No</t>
        </is>
      </c>
      <c r="B313" t="inlineStr">
        <is>
          <t>CURAL</t>
        </is>
      </c>
      <c r="C313" t="inlineStr">
        <is>
          <t>SHELVES</t>
        </is>
      </c>
      <c r="D313" t="inlineStr">
        <is>
          <t>BL51 .H469 1975</t>
        </is>
      </c>
      <c r="E313" t="inlineStr">
        <is>
          <t>0                      BL 0051000H  469         1975</t>
        </is>
      </c>
      <c r="F313" t="inlineStr">
        <is>
          <t>Four existentialist theologians : a reader from the works of Jacques Maritain, Nicolas Berdyaev, Martin Buber, and Paul Tillich / selected and with an introd. and biographical notes by Will Herberg.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Herberg, Will editor.</t>
        </is>
      </c>
      <c r="N313" t="inlineStr">
        <is>
          <t>Westport, Conn. : Greenwood Press, 1975, c1958.</t>
        </is>
      </c>
      <c r="O313" t="inlineStr">
        <is>
          <t>1975</t>
        </is>
      </c>
      <c r="Q313" t="inlineStr">
        <is>
          <t>eng</t>
        </is>
      </c>
      <c r="R313" t="inlineStr">
        <is>
          <t>ctu</t>
        </is>
      </c>
      <c r="T313" t="inlineStr">
        <is>
          <t xml:space="preserve">BL </t>
        </is>
      </c>
      <c r="U313" t="n">
        <v>2</v>
      </c>
      <c r="V313" t="n">
        <v>2</v>
      </c>
      <c r="W313" t="inlineStr">
        <is>
          <t>1999-04-26</t>
        </is>
      </c>
      <c r="X313" t="inlineStr">
        <is>
          <t>1999-04-26</t>
        </is>
      </c>
      <c r="Y313" t="inlineStr">
        <is>
          <t>1990-09-25</t>
        </is>
      </c>
      <c r="Z313" t="inlineStr">
        <is>
          <t>1990-09-25</t>
        </is>
      </c>
      <c r="AA313" t="n">
        <v>134</v>
      </c>
      <c r="AB313" t="n">
        <v>114</v>
      </c>
      <c r="AC313" t="n">
        <v>1030</v>
      </c>
      <c r="AD313" t="n">
        <v>2</v>
      </c>
      <c r="AE313" t="n">
        <v>10</v>
      </c>
      <c r="AF313" t="n">
        <v>3</v>
      </c>
      <c r="AG313" t="n">
        <v>46</v>
      </c>
      <c r="AH313" t="n">
        <v>1</v>
      </c>
      <c r="AI313" t="n">
        <v>20</v>
      </c>
      <c r="AJ313" t="n">
        <v>1</v>
      </c>
      <c r="AK313" t="n">
        <v>9</v>
      </c>
      <c r="AL313" t="n">
        <v>0</v>
      </c>
      <c r="AM313" t="n">
        <v>24</v>
      </c>
      <c r="AN313" t="n">
        <v>1</v>
      </c>
      <c r="AO313" t="n">
        <v>6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HYPERLINK("http://catalog.hathitrust.org/Record/102063208","HathiTrust Record")</f>
        <v/>
      </c>
      <c r="AU313">
        <f>HYPERLINK("https://creighton-primo.hosted.exlibrisgroup.com/primo-explore/search?tab=default_tab&amp;search_scope=EVERYTHING&amp;vid=01CRU&amp;lang=en_US&amp;offset=0&amp;query=any,contains,991003805979702656","Catalog Record")</f>
        <v/>
      </c>
      <c r="AV313">
        <f>HYPERLINK("http://www.worldcat.org/oclc/1530670","WorldCat Record")</f>
        <v/>
      </c>
      <c r="AW313" t="inlineStr">
        <is>
          <t>892459948:eng</t>
        </is>
      </c>
      <c r="AX313" t="inlineStr">
        <is>
          <t>1530670</t>
        </is>
      </c>
      <c r="AY313" t="inlineStr">
        <is>
          <t>991003805979702656</t>
        </is>
      </c>
      <c r="AZ313" t="inlineStr">
        <is>
          <t>991003805979702656</t>
        </is>
      </c>
      <c r="BA313" t="inlineStr">
        <is>
          <t>2269695630002656</t>
        </is>
      </c>
      <c r="BB313" t="inlineStr">
        <is>
          <t>BOOK</t>
        </is>
      </c>
      <c r="BD313" t="inlineStr">
        <is>
          <t>9780837183039</t>
        </is>
      </c>
      <c r="BE313" t="inlineStr">
        <is>
          <t>32285000309822</t>
        </is>
      </c>
      <c r="BF313" t="inlineStr">
        <is>
          <t>893711823</t>
        </is>
      </c>
    </row>
    <row r="314">
      <c r="A314" t="inlineStr">
        <is>
          <t>No</t>
        </is>
      </c>
      <c r="B314" t="inlineStr">
        <is>
          <t>CURAL</t>
        </is>
      </c>
      <c r="C314" t="inlineStr">
        <is>
          <t>SHELVES</t>
        </is>
      </c>
      <c r="D314" t="inlineStr">
        <is>
          <t>BL51 .H593</t>
        </is>
      </c>
      <c r="E314" t="inlineStr">
        <is>
          <t>0                      BL 0051000H  593</t>
        </is>
      </c>
      <c r="F314" t="inlineStr">
        <is>
          <t>Philosophy of religion.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M314" t="inlineStr">
        <is>
          <t>Hick, John, 1922-2012.</t>
        </is>
      </c>
      <c r="N314" t="inlineStr">
        <is>
          <t>Englewood Cliffs, N.J., Prentice-Hall [1963]</t>
        </is>
      </c>
      <c r="O314" t="inlineStr">
        <is>
          <t>1963</t>
        </is>
      </c>
      <c r="Q314" t="inlineStr">
        <is>
          <t>eng</t>
        </is>
      </c>
      <c r="R314" t="inlineStr">
        <is>
          <t>nju</t>
        </is>
      </c>
      <c r="S314" t="inlineStr">
        <is>
          <t>Prentice-Hall foundations of philosophy series</t>
        </is>
      </c>
      <c r="T314" t="inlineStr">
        <is>
          <t xml:space="preserve">BL </t>
        </is>
      </c>
      <c r="U314" t="n">
        <v>4</v>
      </c>
      <c r="V314" t="n">
        <v>4</v>
      </c>
      <c r="W314" t="inlineStr">
        <is>
          <t>2006-11-20</t>
        </is>
      </c>
      <c r="X314" t="inlineStr">
        <is>
          <t>2006-11-20</t>
        </is>
      </c>
      <c r="Y314" t="inlineStr">
        <is>
          <t>1990-09-25</t>
        </is>
      </c>
      <c r="Z314" t="inlineStr">
        <is>
          <t>1990-09-25</t>
        </is>
      </c>
      <c r="AA314" t="n">
        <v>986</v>
      </c>
      <c r="AB314" t="n">
        <v>807</v>
      </c>
      <c r="AC314" t="n">
        <v>1338</v>
      </c>
      <c r="AD314" t="n">
        <v>7</v>
      </c>
      <c r="AE314" t="n">
        <v>9</v>
      </c>
      <c r="AF314" t="n">
        <v>33</v>
      </c>
      <c r="AG314" t="n">
        <v>54</v>
      </c>
      <c r="AH314" t="n">
        <v>14</v>
      </c>
      <c r="AI314" t="n">
        <v>25</v>
      </c>
      <c r="AJ314" t="n">
        <v>5</v>
      </c>
      <c r="AK314" t="n">
        <v>10</v>
      </c>
      <c r="AL314" t="n">
        <v>15</v>
      </c>
      <c r="AM314" t="n">
        <v>26</v>
      </c>
      <c r="AN314" t="n">
        <v>4</v>
      </c>
      <c r="AO314" t="n">
        <v>6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HYPERLINK("http://catalog.hathitrust.org/Record/001391255","HathiTrust Record")</f>
        <v/>
      </c>
      <c r="AU314">
        <f>HYPERLINK("https://creighton-primo.hosted.exlibrisgroup.com/primo-explore/search?tab=default_tab&amp;search_scope=EVERYTHING&amp;vid=01CRU&amp;lang=en_US&amp;offset=0&amp;query=any,contains,991002623249702656","Catalog Record")</f>
        <v/>
      </c>
      <c r="AV314">
        <f>HYPERLINK("http://www.worldcat.org/oclc/381236","WorldCat Record")</f>
        <v/>
      </c>
      <c r="AW314" t="inlineStr">
        <is>
          <t>138395765:eng</t>
        </is>
      </c>
      <c r="AX314" t="inlineStr">
        <is>
          <t>381236</t>
        </is>
      </c>
      <c r="AY314" t="inlineStr">
        <is>
          <t>991002623249702656</t>
        </is>
      </c>
      <c r="AZ314" t="inlineStr">
        <is>
          <t>991002623249702656</t>
        </is>
      </c>
      <c r="BA314" t="inlineStr">
        <is>
          <t>2261525380002656</t>
        </is>
      </c>
      <c r="BB314" t="inlineStr">
        <is>
          <t>BOOK</t>
        </is>
      </c>
      <c r="BE314" t="inlineStr">
        <is>
          <t>32285000309871</t>
        </is>
      </c>
      <c r="BF314" t="inlineStr">
        <is>
          <t>893329324</t>
        </is>
      </c>
    </row>
    <row r="315">
      <c r="A315" t="inlineStr">
        <is>
          <t>No</t>
        </is>
      </c>
      <c r="B315" t="inlineStr">
        <is>
          <t>CURAL</t>
        </is>
      </c>
      <c r="C315" t="inlineStr">
        <is>
          <t>SHELVES</t>
        </is>
      </c>
      <c r="D315" t="inlineStr">
        <is>
          <t>BL51 .H6</t>
        </is>
      </c>
      <c r="E315" t="inlineStr">
        <is>
          <t>0                      BL 0051000H  6</t>
        </is>
      </c>
      <c r="F315" t="inlineStr">
        <is>
          <t>The meaning of God in human experience; a philosophic study of religion, by William Ernest Hocking...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M315" t="inlineStr">
        <is>
          <t>Hocking, William Ernest, 1873-1966.</t>
        </is>
      </c>
      <c r="N315" t="inlineStr">
        <is>
          <t>New Haven, Yale university press; [etc., etc.] 1912.</t>
        </is>
      </c>
      <c r="O315" t="inlineStr">
        <is>
          <t>1912</t>
        </is>
      </c>
      <c r="Q315" t="inlineStr">
        <is>
          <t>eng</t>
        </is>
      </c>
      <c r="R315" t="inlineStr">
        <is>
          <t>___</t>
        </is>
      </c>
      <c r="T315" t="inlineStr">
        <is>
          <t xml:space="preserve">BL </t>
        </is>
      </c>
      <c r="U315" t="n">
        <v>2</v>
      </c>
      <c r="V315" t="n">
        <v>2</v>
      </c>
      <c r="W315" t="inlineStr">
        <is>
          <t>1996-11-25</t>
        </is>
      </c>
      <c r="X315" t="inlineStr">
        <is>
          <t>1996-11-25</t>
        </is>
      </c>
      <c r="Y315" t="inlineStr">
        <is>
          <t>1990-09-25</t>
        </is>
      </c>
      <c r="Z315" t="inlineStr">
        <is>
          <t>1990-09-25</t>
        </is>
      </c>
      <c r="AA315" t="n">
        <v>953</v>
      </c>
      <c r="AB315" t="n">
        <v>858</v>
      </c>
      <c r="AC315" t="n">
        <v>1056</v>
      </c>
      <c r="AD315" t="n">
        <v>7</v>
      </c>
      <c r="AE315" t="n">
        <v>11</v>
      </c>
      <c r="AF315" t="n">
        <v>33</v>
      </c>
      <c r="AG315" t="n">
        <v>43</v>
      </c>
      <c r="AH315" t="n">
        <v>13</v>
      </c>
      <c r="AI315" t="n">
        <v>15</v>
      </c>
      <c r="AJ315" t="n">
        <v>6</v>
      </c>
      <c r="AK315" t="n">
        <v>8</v>
      </c>
      <c r="AL315" t="n">
        <v>17</v>
      </c>
      <c r="AM315" t="n">
        <v>22</v>
      </c>
      <c r="AN315" t="n">
        <v>5</v>
      </c>
      <c r="AO315" t="n">
        <v>8</v>
      </c>
      <c r="AP315" t="n">
        <v>0</v>
      </c>
      <c r="AQ315" t="n">
        <v>0</v>
      </c>
      <c r="AR315" t="inlineStr">
        <is>
          <t>Yes</t>
        </is>
      </c>
      <c r="AS315" t="inlineStr">
        <is>
          <t>No</t>
        </is>
      </c>
      <c r="AT315">
        <f>HYPERLINK("http://catalog.hathitrust.org/Record/001400487","HathiTrust Record")</f>
        <v/>
      </c>
      <c r="AU315">
        <f>HYPERLINK("https://creighton-primo.hosted.exlibrisgroup.com/primo-explore/search?tab=default_tab&amp;search_scope=EVERYTHING&amp;vid=01CRU&amp;lang=en_US&amp;offset=0&amp;query=any,contains,991002259039702656","Catalog Record")</f>
        <v/>
      </c>
      <c r="AV315">
        <f>HYPERLINK("http://www.worldcat.org/oclc/188923","WorldCat Record")</f>
        <v/>
      </c>
      <c r="AW315" t="inlineStr">
        <is>
          <t>1343706:eng</t>
        </is>
      </c>
      <c r="AX315" t="inlineStr">
        <is>
          <t>188923</t>
        </is>
      </c>
      <c r="AY315" t="inlineStr">
        <is>
          <t>991002259039702656</t>
        </is>
      </c>
      <c r="AZ315" t="inlineStr">
        <is>
          <t>991002259039702656</t>
        </is>
      </c>
      <c r="BA315" t="inlineStr">
        <is>
          <t>2272650500002656</t>
        </is>
      </c>
      <c r="BB315" t="inlineStr">
        <is>
          <t>BOOK</t>
        </is>
      </c>
      <c r="BE315" t="inlineStr">
        <is>
          <t>32285000309897</t>
        </is>
      </c>
      <c r="BF315" t="inlineStr">
        <is>
          <t>893879672</t>
        </is>
      </c>
    </row>
    <row r="316">
      <c r="A316" t="inlineStr">
        <is>
          <t>No</t>
        </is>
      </c>
      <c r="B316" t="inlineStr">
        <is>
          <t>CURAL</t>
        </is>
      </c>
      <c r="C316" t="inlineStr">
        <is>
          <t>SHELVES</t>
        </is>
      </c>
      <c r="D316" t="inlineStr">
        <is>
          <t>BL51 .H89 1974a</t>
        </is>
      </c>
      <c r="E316" t="inlineStr">
        <is>
          <t>0                      BL 0051000H  89          1974a</t>
        </is>
      </c>
      <c r="F316" t="inlineStr">
        <is>
          <t>A philosophical approach to religion [by] W. Donald Hudson.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M316" t="inlineStr">
        <is>
          <t>Hudson, W. D. (William Donald)</t>
        </is>
      </c>
      <c r="N316" t="inlineStr">
        <is>
          <t>New York, Barnes &amp; Noble [1974]</t>
        </is>
      </c>
      <c r="O316" t="inlineStr">
        <is>
          <t>1974</t>
        </is>
      </c>
      <c r="Q316" t="inlineStr">
        <is>
          <t>eng</t>
        </is>
      </c>
      <c r="R316" t="inlineStr">
        <is>
          <t>___</t>
        </is>
      </c>
      <c r="T316" t="inlineStr">
        <is>
          <t xml:space="preserve">BL </t>
        </is>
      </c>
      <c r="U316" t="n">
        <v>2</v>
      </c>
      <c r="V316" t="n">
        <v>2</v>
      </c>
      <c r="W316" t="inlineStr">
        <is>
          <t>2004-11-21</t>
        </is>
      </c>
      <c r="X316" t="inlineStr">
        <is>
          <t>2004-11-21</t>
        </is>
      </c>
      <c r="Y316" t="inlineStr">
        <is>
          <t>1990-09-25</t>
        </is>
      </c>
      <c r="Z316" t="inlineStr">
        <is>
          <t>1990-09-25</t>
        </is>
      </c>
      <c r="AA316" t="n">
        <v>219</v>
      </c>
      <c r="AB316" t="n">
        <v>210</v>
      </c>
      <c r="AC316" t="n">
        <v>477</v>
      </c>
      <c r="AD316" t="n">
        <v>3</v>
      </c>
      <c r="AE316" t="n">
        <v>3</v>
      </c>
      <c r="AF316" t="n">
        <v>8</v>
      </c>
      <c r="AG316" t="n">
        <v>16</v>
      </c>
      <c r="AH316" t="n">
        <v>4</v>
      </c>
      <c r="AI316" t="n">
        <v>6</v>
      </c>
      <c r="AJ316" t="n">
        <v>1</v>
      </c>
      <c r="AK316" t="n">
        <v>3</v>
      </c>
      <c r="AL316" t="n">
        <v>5</v>
      </c>
      <c r="AM316" t="n">
        <v>12</v>
      </c>
      <c r="AN316" t="n">
        <v>1</v>
      </c>
      <c r="AO316" t="n">
        <v>1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HYPERLINK("http://catalog.hathitrust.org/Record/004479212","HathiTrust Record")</f>
        <v/>
      </c>
      <c r="AU316">
        <f>HYPERLINK("https://creighton-primo.hosted.exlibrisgroup.com/primo-explore/search?tab=default_tab&amp;search_scope=EVERYTHING&amp;vid=01CRU&amp;lang=en_US&amp;offset=0&amp;query=any,contains,991003500649702656","Catalog Record")</f>
        <v/>
      </c>
      <c r="AV316">
        <f>HYPERLINK("http://www.worldcat.org/oclc/1053426","WorldCat Record")</f>
        <v/>
      </c>
      <c r="AW316" t="inlineStr">
        <is>
          <t>375640000:eng</t>
        </is>
      </c>
      <c r="AX316" t="inlineStr">
        <is>
          <t>1053426</t>
        </is>
      </c>
      <c r="AY316" t="inlineStr">
        <is>
          <t>991003500649702656</t>
        </is>
      </c>
      <c r="AZ316" t="inlineStr">
        <is>
          <t>991003500649702656</t>
        </is>
      </c>
      <c r="BA316" t="inlineStr">
        <is>
          <t>2270756440002656</t>
        </is>
      </c>
      <c r="BB316" t="inlineStr">
        <is>
          <t>BOOK</t>
        </is>
      </c>
      <c r="BE316" t="inlineStr">
        <is>
          <t>32285000309913</t>
        </is>
      </c>
      <c r="BF316" t="inlineStr">
        <is>
          <t>893240273</t>
        </is>
      </c>
    </row>
    <row r="317">
      <c r="A317" t="inlineStr">
        <is>
          <t>No</t>
        </is>
      </c>
      <c r="B317" t="inlineStr">
        <is>
          <t>CURAL</t>
        </is>
      </c>
      <c r="C317" t="inlineStr">
        <is>
          <t>SHELVES</t>
        </is>
      </c>
      <c r="D317" t="inlineStr">
        <is>
          <t>BL51 .J853 1960</t>
        </is>
      </c>
      <c r="E317" t="inlineStr">
        <is>
          <t>0                      BL 0051000J  853         1960</t>
        </is>
      </c>
      <c r="F317" t="inlineStr">
        <is>
          <t>Answer to Job / C.G. Jung. Translated by R.F.C. Hull.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Jung, C. G. (Carl Gustav), 1875-1961.</t>
        </is>
      </c>
      <c r="N317" t="inlineStr">
        <is>
          <t>New York : Meridian Books, 1960, c1954, 1967 printing.</t>
        </is>
      </c>
      <c r="O317" t="inlineStr">
        <is>
          <t>1960</t>
        </is>
      </c>
      <c r="Q317" t="inlineStr">
        <is>
          <t>eng</t>
        </is>
      </c>
      <c r="R317" t="inlineStr">
        <is>
          <t>nyu</t>
        </is>
      </c>
      <c r="S317" t="inlineStr">
        <is>
          <t>Meridian books ; M86</t>
        </is>
      </c>
      <c r="T317" t="inlineStr">
        <is>
          <t xml:space="preserve">BL </t>
        </is>
      </c>
      <c r="U317" t="n">
        <v>5</v>
      </c>
      <c r="V317" t="n">
        <v>5</v>
      </c>
      <c r="W317" t="inlineStr">
        <is>
          <t>2010-03-30</t>
        </is>
      </c>
      <c r="X317" t="inlineStr">
        <is>
          <t>2010-03-30</t>
        </is>
      </c>
      <c r="Y317" t="inlineStr">
        <is>
          <t>1990-09-25</t>
        </is>
      </c>
      <c r="Z317" t="inlineStr">
        <is>
          <t>1990-09-25</t>
        </is>
      </c>
      <c r="AA317" t="n">
        <v>329</v>
      </c>
      <c r="AB317" t="n">
        <v>298</v>
      </c>
      <c r="AC317" t="n">
        <v>1484</v>
      </c>
      <c r="AD317" t="n">
        <v>3</v>
      </c>
      <c r="AE317" t="n">
        <v>18</v>
      </c>
      <c r="AF317" t="n">
        <v>13</v>
      </c>
      <c r="AG317" t="n">
        <v>65</v>
      </c>
      <c r="AH317" t="n">
        <v>5</v>
      </c>
      <c r="AI317" t="n">
        <v>27</v>
      </c>
      <c r="AJ317" t="n">
        <v>2</v>
      </c>
      <c r="AK317" t="n">
        <v>11</v>
      </c>
      <c r="AL317" t="n">
        <v>8</v>
      </c>
      <c r="AM317" t="n">
        <v>26</v>
      </c>
      <c r="AN317" t="n">
        <v>2</v>
      </c>
      <c r="AO317" t="n">
        <v>14</v>
      </c>
      <c r="AP317" t="n">
        <v>0</v>
      </c>
      <c r="AQ317" t="n">
        <v>1</v>
      </c>
      <c r="AR317" t="inlineStr">
        <is>
          <t>No</t>
        </is>
      </c>
      <c r="AS317" t="inlineStr">
        <is>
          <t>No</t>
        </is>
      </c>
      <c r="AU317">
        <f>HYPERLINK("https://creighton-primo.hosted.exlibrisgroup.com/primo-explore/search?tab=default_tab&amp;search_scope=EVERYTHING&amp;vid=01CRU&amp;lang=en_US&amp;offset=0&amp;query=any,contains,991004104099702656","Catalog Record")</f>
        <v/>
      </c>
      <c r="AV317">
        <f>HYPERLINK("http://www.worldcat.org/oclc/2376772","WorldCat Record")</f>
        <v/>
      </c>
      <c r="AW317" t="inlineStr">
        <is>
          <t>1134193815:eng</t>
        </is>
      </c>
      <c r="AX317" t="inlineStr">
        <is>
          <t>2376772</t>
        </is>
      </c>
      <c r="AY317" t="inlineStr">
        <is>
          <t>991004104099702656</t>
        </is>
      </c>
      <c r="AZ317" t="inlineStr">
        <is>
          <t>991004104099702656</t>
        </is>
      </c>
      <c r="BA317" t="inlineStr">
        <is>
          <t>2259162230002656</t>
        </is>
      </c>
      <c r="BB317" t="inlineStr">
        <is>
          <t>BOOK</t>
        </is>
      </c>
      <c r="BE317" t="inlineStr">
        <is>
          <t>32285000309947</t>
        </is>
      </c>
      <c r="BF317" t="inlineStr">
        <is>
          <t>893693521</t>
        </is>
      </c>
    </row>
    <row r="318">
      <c r="A318" t="inlineStr">
        <is>
          <t>No</t>
        </is>
      </c>
      <c r="B318" t="inlineStr">
        <is>
          <t>CURAL</t>
        </is>
      </c>
      <c r="C318" t="inlineStr">
        <is>
          <t>SHELVES</t>
        </is>
      </c>
      <c r="D318" t="inlineStr">
        <is>
          <t>BL51 .K416</t>
        </is>
      </c>
      <c r="E318" t="inlineStr">
        <is>
          <t>0                      BL 0051000K  416</t>
        </is>
      </c>
      <c r="F318" t="inlineStr">
        <is>
          <t>Religious discovery, faith, and knowledge.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Kellenberger, James.</t>
        </is>
      </c>
      <c r="N318" t="inlineStr">
        <is>
          <t>Englewood Cliffs, N.J., Prentice-Hall [1972]</t>
        </is>
      </c>
      <c r="O318" t="inlineStr">
        <is>
          <t>1972</t>
        </is>
      </c>
      <c r="Q318" t="inlineStr">
        <is>
          <t>eng</t>
        </is>
      </c>
      <c r="R318" t="inlineStr">
        <is>
          <t>nju</t>
        </is>
      </c>
      <c r="T318" t="inlineStr">
        <is>
          <t xml:space="preserve">BL </t>
        </is>
      </c>
      <c r="U318" t="n">
        <v>1</v>
      </c>
      <c r="V318" t="n">
        <v>1</v>
      </c>
      <c r="W318" t="inlineStr">
        <is>
          <t>1992-09-20</t>
        </is>
      </c>
      <c r="X318" t="inlineStr">
        <is>
          <t>1992-09-20</t>
        </is>
      </c>
      <c r="Y318" t="inlineStr">
        <is>
          <t>1990-09-25</t>
        </is>
      </c>
      <c r="Z318" t="inlineStr">
        <is>
          <t>1990-09-25</t>
        </is>
      </c>
      <c r="AA318" t="n">
        <v>259</v>
      </c>
      <c r="AB318" t="n">
        <v>212</v>
      </c>
      <c r="AC318" t="n">
        <v>218</v>
      </c>
      <c r="AD318" t="n">
        <v>1</v>
      </c>
      <c r="AE318" t="n">
        <v>1</v>
      </c>
      <c r="AF318" t="n">
        <v>14</v>
      </c>
      <c r="AG318" t="n">
        <v>14</v>
      </c>
      <c r="AH318" t="n">
        <v>3</v>
      </c>
      <c r="AI318" t="n">
        <v>3</v>
      </c>
      <c r="AJ318" t="n">
        <v>4</v>
      </c>
      <c r="AK318" t="n">
        <v>4</v>
      </c>
      <c r="AL318" t="n">
        <v>13</v>
      </c>
      <c r="AM318" t="n">
        <v>13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HYPERLINK("http://catalog.hathitrust.org/Record/011230779","HathiTrust Record")</f>
        <v/>
      </c>
      <c r="AU318">
        <f>HYPERLINK("https://creighton-primo.hosted.exlibrisgroup.com/primo-explore/search?tab=default_tab&amp;search_scope=EVERYTHING&amp;vid=01CRU&amp;lang=en_US&amp;offset=0&amp;query=any,contains,991002208029702656","Catalog Record")</f>
        <v/>
      </c>
      <c r="AV318">
        <f>HYPERLINK("http://www.worldcat.org/oclc/286886","WorldCat Record")</f>
        <v/>
      </c>
      <c r="AW318" t="inlineStr">
        <is>
          <t>1456857:eng</t>
        </is>
      </c>
      <c r="AX318" t="inlineStr">
        <is>
          <t>286886</t>
        </is>
      </c>
      <c r="AY318" t="inlineStr">
        <is>
          <t>991002208029702656</t>
        </is>
      </c>
      <c r="AZ318" t="inlineStr">
        <is>
          <t>991002208029702656</t>
        </is>
      </c>
      <c r="BA318" t="inlineStr">
        <is>
          <t>2260885470002656</t>
        </is>
      </c>
      <c r="BB318" t="inlineStr">
        <is>
          <t>BOOK</t>
        </is>
      </c>
      <c r="BD318" t="inlineStr">
        <is>
          <t>9780137732197</t>
        </is>
      </c>
      <c r="BE318" t="inlineStr">
        <is>
          <t>32285000309954</t>
        </is>
      </c>
      <c r="BF318" t="inlineStr">
        <is>
          <t>893238770</t>
        </is>
      </c>
    </row>
    <row r="319">
      <c r="A319" t="inlineStr">
        <is>
          <t>No</t>
        </is>
      </c>
      <c r="B319" t="inlineStr">
        <is>
          <t>CURAL</t>
        </is>
      </c>
      <c r="C319" t="inlineStr">
        <is>
          <t>SHELVES</t>
        </is>
      </c>
      <c r="D319" t="inlineStr">
        <is>
          <t>BL51 .K487 1962</t>
        </is>
      </c>
      <c r="E319" t="inlineStr">
        <is>
          <t>0                      BL 0051000K  487         1962</t>
        </is>
      </c>
      <c r="F319" t="inlineStr">
        <is>
          <t>Philosophical fragments; or, A fragment of philosophy, by Johannes Climacus [pseud.] ... Responsible for publication: S. Kierkegaard. Originally translated and introduced by David F. Swenson. New introd. and commentary by Niels Thulstrup. Translation rev. and commentary translated by Howard V. Hong.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Kierkegaard, Søren, 1813-1855.</t>
        </is>
      </c>
      <c r="N319" t="inlineStr">
        <is>
          <t>Princeton, N.J., Princeton University Press, 1962, 1966 printing.</t>
        </is>
      </c>
      <c r="O319" t="inlineStr">
        <is>
          <t>1962</t>
        </is>
      </c>
      <c r="P319" t="inlineStr">
        <is>
          <t>[2d ed.]</t>
        </is>
      </c>
      <c r="Q319" t="inlineStr">
        <is>
          <t>eng</t>
        </is>
      </c>
      <c r="R319" t="inlineStr">
        <is>
          <t>nju</t>
        </is>
      </c>
      <c r="T319" t="inlineStr">
        <is>
          <t xml:space="preserve">BL </t>
        </is>
      </c>
      <c r="U319" t="n">
        <v>1</v>
      </c>
      <c r="V319" t="n">
        <v>1</v>
      </c>
      <c r="W319" t="inlineStr">
        <is>
          <t>2009-04-26</t>
        </is>
      </c>
      <c r="X319" t="inlineStr">
        <is>
          <t>2009-04-26</t>
        </is>
      </c>
      <c r="Y319" t="inlineStr">
        <is>
          <t>1990-09-25</t>
        </is>
      </c>
      <c r="Z319" t="inlineStr">
        <is>
          <t>1990-09-25</t>
        </is>
      </c>
      <c r="AA319" t="n">
        <v>1056</v>
      </c>
      <c r="AB319" t="n">
        <v>930</v>
      </c>
      <c r="AC319" t="n">
        <v>1337</v>
      </c>
      <c r="AD319" t="n">
        <v>5</v>
      </c>
      <c r="AE319" t="n">
        <v>9</v>
      </c>
      <c r="AF319" t="n">
        <v>37</v>
      </c>
      <c r="AG319" t="n">
        <v>51</v>
      </c>
      <c r="AH319" t="n">
        <v>14</v>
      </c>
      <c r="AI319" t="n">
        <v>20</v>
      </c>
      <c r="AJ319" t="n">
        <v>9</v>
      </c>
      <c r="AK319" t="n">
        <v>10</v>
      </c>
      <c r="AL319" t="n">
        <v>20</v>
      </c>
      <c r="AM319" t="n">
        <v>26</v>
      </c>
      <c r="AN319" t="n">
        <v>3</v>
      </c>
      <c r="AO319" t="n">
        <v>7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HYPERLINK("http://catalog.hathitrust.org/Record/001386844","HathiTrust Record")</f>
        <v/>
      </c>
      <c r="AU319">
        <f>HYPERLINK("https://creighton-primo.hosted.exlibrisgroup.com/primo-explore/search?tab=default_tab&amp;search_scope=EVERYTHING&amp;vid=01CRU&amp;lang=en_US&amp;offset=0&amp;query=any,contains,991002637179702656","Catalog Record")</f>
        <v/>
      </c>
      <c r="AV319">
        <f>HYPERLINK("http://www.worldcat.org/oclc/382821","WorldCat Record")</f>
        <v/>
      </c>
      <c r="AW319" t="inlineStr">
        <is>
          <t>2044546893:eng</t>
        </is>
      </c>
      <c r="AX319" t="inlineStr">
        <is>
          <t>382821</t>
        </is>
      </c>
      <c r="AY319" t="inlineStr">
        <is>
          <t>991002637179702656</t>
        </is>
      </c>
      <c r="AZ319" t="inlineStr">
        <is>
          <t>991002637179702656</t>
        </is>
      </c>
      <c r="BA319" t="inlineStr">
        <is>
          <t>2260323270002656</t>
        </is>
      </c>
      <c r="BB319" t="inlineStr">
        <is>
          <t>BOOK</t>
        </is>
      </c>
      <c r="BE319" t="inlineStr">
        <is>
          <t>32285000309962</t>
        </is>
      </c>
      <c r="BF319" t="inlineStr">
        <is>
          <t>893317063</t>
        </is>
      </c>
    </row>
    <row r="320">
      <c r="A320" t="inlineStr">
        <is>
          <t>No</t>
        </is>
      </c>
      <c r="B320" t="inlineStr">
        <is>
          <t>CURAL</t>
        </is>
      </c>
      <c r="C320" t="inlineStr">
        <is>
          <t>SHELVES</t>
        </is>
      </c>
      <c r="D320" t="inlineStr">
        <is>
          <t>BL51 .K498</t>
        </is>
      </c>
      <c r="E320" t="inlineStr">
        <is>
          <t>0                      BL 0051000K  498</t>
        </is>
      </c>
      <c r="F320" t="inlineStr">
        <is>
          <t>Faith and the life of reason. By John King-Farlow and William Niels Christensen.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King-Farlow, John.</t>
        </is>
      </c>
      <c r="N320" t="inlineStr">
        <is>
          <t>Dordrecht, Reidel, [1973]</t>
        </is>
      </c>
      <c r="O320" t="inlineStr">
        <is>
          <t>1973</t>
        </is>
      </c>
      <c r="Q320" t="inlineStr">
        <is>
          <t>eng</t>
        </is>
      </c>
      <c r="R320" t="inlineStr">
        <is>
          <t xml:space="preserve">ne </t>
        </is>
      </c>
      <c r="T320" t="inlineStr">
        <is>
          <t xml:space="preserve">BL </t>
        </is>
      </c>
      <c r="U320" t="n">
        <v>2</v>
      </c>
      <c r="V320" t="n">
        <v>2</v>
      </c>
      <c r="W320" t="inlineStr">
        <is>
          <t>1993-04-06</t>
        </is>
      </c>
      <c r="X320" t="inlineStr">
        <is>
          <t>1993-04-06</t>
        </is>
      </c>
      <c r="Y320" t="inlineStr">
        <is>
          <t>1990-09-25</t>
        </is>
      </c>
      <c r="Z320" t="inlineStr">
        <is>
          <t>1990-09-25</t>
        </is>
      </c>
      <c r="AA320" t="n">
        <v>223</v>
      </c>
      <c r="AB320" t="n">
        <v>188</v>
      </c>
      <c r="AC320" t="n">
        <v>249</v>
      </c>
      <c r="AD320" t="n">
        <v>1</v>
      </c>
      <c r="AE320" t="n">
        <v>1</v>
      </c>
      <c r="AF320" t="n">
        <v>8</v>
      </c>
      <c r="AG320" t="n">
        <v>13</v>
      </c>
      <c r="AH320" t="n">
        <v>2</v>
      </c>
      <c r="AI320" t="n">
        <v>3</v>
      </c>
      <c r="AJ320" t="n">
        <v>3</v>
      </c>
      <c r="AK320" t="n">
        <v>4</v>
      </c>
      <c r="AL320" t="n">
        <v>7</v>
      </c>
      <c r="AM320" t="n">
        <v>12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HYPERLINK("http://catalog.hathitrust.org/Record/006551334","HathiTrust Record")</f>
        <v/>
      </c>
      <c r="AU320">
        <f>HYPERLINK("https://creighton-primo.hosted.exlibrisgroup.com/primo-explore/search?tab=default_tab&amp;search_scope=EVERYTHING&amp;vid=01CRU&amp;lang=en_US&amp;offset=0&amp;query=any,contains,991003054839702656","Catalog Record")</f>
        <v/>
      </c>
      <c r="AV320">
        <f>HYPERLINK("http://www.worldcat.org/oclc/613633","WorldCat Record")</f>
        <v/>
      </c>
      <c r="AW320" t="inlineStr">
        <is>
          <t>567530:eng</t>
        </is>
      </c>
      <c r="AX320" t="inlineStr">
        <is>
          <t>613633</t>
        </is>
      </c>
      <c r="AY320" t="inlineStr">
        <is>
          <t>991003054839702656</t>
        </is>
      </c>
      <c r="AZ320" t="inlineStr">
        <is>
          <t>991003054839702656</t>
        </is>
      </c>
      <c r="BA320" t="inlineStr">
        <is>
          <t>2268311470002656</t>
        </is>
      </c>
      <c r="BB320" t="inlineStr">
        <is>
          <t>BOOK</t>
        </is>
      </c>
      <c r="BD320" t="inlineStr">
        <is>
          <t>9789027702753</t>
        </is>
      </c>
      <c r="BE320" t="inlineStr">
        <is>
          <t>32285000309996</t>
        </is>
      </c>
      <c r="BF320" t="inlineStr">
        <is>
          <t>893348293</t>
        </is>
      </c>
    </row>
    <row r="321">
      <c r="A321" t="inlineStr">
        <is>
          <t>No</t>
        </is>
      </c>
      <c r="B321" t="inlineStr">
        <is>
          <t>CURAL</t>
        </is>
      </c>
      <c r="C321" t="inlineStr">
        <is>
          <t>SHELVES</t>
        </is>
      </c>
      <c r="D321" t="inlineStr">
        <is>
          <t>BL51 .K64</t>
        </is>
      </c>
      <c r="E321" t="inlineStr">
        <is>
          <t>0                      BL 0051000K  64</t>
        </is>
      </c>
      <c r="F321" t="inlineStr">
        <is>
          <t>Religion : if there is no God-- on God, the Devil, sin, and other worries of the so-called philosophy of religion / Leszek Kolakowski.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Kołakowski, Leszek.</t>
        </is>
      </c>
      <c r="N321" t="inlineStr">
        <is>
          <t>New York : Oxford University Press, 1982.</t>
        </is>
      </c>
      <c r="O321" t="inlineStr">
        <is>
          <t>1982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BL </t>
        </is>
      </c>
      <c r="U321" t="n">
        <v>3</v>
      </c>
      <c r="V321" t="n">
        <v>3</v>
      </c>
      <c r="W321" t="inlineStr">
        <is>
          <t>2008-04-30</t>
        </is>
      </c>
      <c r="X321" t="inlineStr">
        <is>
          <t>2008-04-30</t>
        </is>
      </c>
      <c r="Y321" t="inlineStr">
        <is>
          <t>1990-09-25</t>
        </is>
      </c>
      <c r="Z321" t="inlineStr">
        <is>
          <t>1990-09-25</t>
        </is>
      </c>
      <c r="AA321" t="n">
        <v>654</v>
      </c>
      <c r="AB321" t="n">
        <v>565</v>
      </c>
      <c r="AC321" t="n">
        <v>672</v>
      </c>
      <c r="AD321" t="n">
        <v>2</v>
      </c>
      <c r="AE321" t="n">
        <v>4</v>
      </c>
      <c r="AF321" t="n">
        <v>30</v>
      </c>
      <c r="AG321" t="n">
        <v>35</v>
      </c>
      <c r="AH321" t="n">
        <v>15</v>
      </c>
      <c r="AI321" t="n">
        <v>17</v>
      </c>
      <c r="AJ321" t="n">
        <v>7</v>
      </c>
      <c r="AK321" t="n">
        <v>10</v>
      </c>
      <c r="AL321" t="n">
        <v>18</v>
      </c>
      <c r="AM321" t="n">
        <v>18</v>
      </c>
      <c r="AN321" t="n">
        <v>1</v>
      </c>
      <c r="AO321" t="n">
        <v>2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HYPERLINK("http://catalog.hathitrust.org/Record/000198354","HathiTrust Record")</f>
        <v/>
      </c>
      <c r="AU321">
        <f>HYPERLINK("https://creighton-primo.hosted.exlibrisgroup.com/primo-explore/search?tab=default_tab&amp;search_scope=EVERYTHING&amp;vid=01CRU&amp;lang=en_US&amp;offset=0&amp;query=any,contains,991005238539702656","Catalog Record")</f>
        <v/>
      </c>
      <c r="AV321">
        <f>HYPERLINK("http://www.worldcat.org/oclc/9194110","WorldCat Record")</f>
        <v/>
      </c>
      <c r="AW321" t="inlineStr">
        <is>
          <t>5623548784:eng</t>
        </is>
      </c>
      <c r="AX321" t="inlineStr">
        <is>
          <t>9194110</t>
        </is>
      </c>
      <c r="AY321" t="inlineStr">
        <is>
          <t>991005238539702656</t>
        </is>
      </c>
      <c r="AZ321" t="inlineStr">
        <is>
          <t>991005238539702656</t>
        </is>
      </c>
      <c r="BA321" t="inlineStr">
        <is>
          <t>2263610700002656</t>
        </is>
      </c>
      <c r="BB321" t="inlineStr">
        <is>
          <t>BOOK</t>
        </is>
      </c>
      <c r="BE321" t="inlineStr">
        <is>
          <t>32285000320092</t>
        </is>
      </c>
      <c r="BF321" t="inlineStr">
        <is>
          <t>893707507</t>
        </is>
      </c>
    </row>
    <row r="322">
      <c r="A322" t="inlineStr">
        <is>
          <t>No</t>
        </is>
      </c>
      <c r="B322" t="inlineStr">
        <is>
          <t>CURAL</t>
        </is>
      </c>
      <c r="C322" t="inlineStr">
        <is>
          <t>SHELVES</t>
        </is>
      </c>
      <c r="D322" t="inlineStr">
        <is>
          <t>BL51 .K683</t>
        </is>
      </c>
      <c r="E322" t="inlineStr">
        <is>
          <t>0                      BL 0051000K  683</t>
        </is>
      </c>
      <c r="F322" t="inlineStr">
        <is>
          <t>The meaning of religion, by the late W. Brede Kristensen. With an introduction by Hendrik Kraemer. Translated by John B. Carman.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M322" t="inlineStr">
        <is>
          <t>Kristensen, W. Brede (William Brede), 1867-1953.</t>
        </is>
      </c>
      <c r="N322" t="inlineStr">
        <is>
          <t>The Hague, M. Nijhoff, 1960.</t>
        </is>
      </c>
      <c r="O322" t="inlineStr">
        <is>
          <t>1960</t>
        </is>
      </c>
      <c r="Q322" t="inlineStr">
        <is>
          <t>eng</t>
        </is>
      </c>
      <c r="R322" t="inlineStr">
        <is>
          <t>___</t>
        </is>
      </c>
      <c r="T322" t="inlineStr">
        <is>
          <t xml:space="preserve">BL </t>
        </is>
      </c>
      <c r="U322" t="n">
        <v>3</v>
      </c>
      <c r="V322" t="n">
        <v>3</v>
      </c>
      <c r="W322" t="inlineStr">
        <is>
          <t>1996-02-27</t>
        </is>
      </c>
      <c r="X322" t="inlineStr">
        <is>
          <t>1996-02-27</t>
        </is>
      </c>
      <c r="Y322" t="inlineStr">
        <is>
          <t>1990-09-25</t>
        </is>
      </c>
      <c r="Z322" t="inlineStr">
        <is>
          <t>1990-09-25</t>
        </is>
      </c>
      <c r="AA322" t="n">
        <v>374</v>
      </c>
      <c r="AB322" t="n">
        <v>285</v>
      </c>
      <c r="AC322" t="n">
        <v>356</v>
      </c>
      <c r="AD322" t="n">
        <v>1</v>
      </c>
      <c r="AE322" t="n">
        <v>1</v>
      </c>
      <c r="AF322" t="n">
        <v>16</v>
      </c>
      <c r="AG322" t="n">
        <v>19</v>
      </c>
      <c r="AH322" t="n">
        <v>6</v>
      </c>
      <c r="AI322" t="n">
        <v>7</v>
      </c>
      <c r="AJ322" t="n">
        <v>5</v>
      </c>
      <c r="AK322" t="n">
        <v>6</v>
      </c>
      <c r="AL322" t="n">
        <v>11</v>
      </c>
      <c r="AM322" t="n">
        <v>14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HYPERLINK("http://catalog.hathitrust.org/Record/001397034","HathiTrust Record")</f>
        <v/>
      </c>
      <c r="AU322">
        <f>HYPERLINK("https://creighton-primo.hosted.exlibrisgroup.com/primo-explore/search?tab=default_tab&amp;search_scope=EVERYTHING&amp;vid=01CRU&amp;lang=en_US&amp;offset=0&amp;query=any,contains,991001925439702656","Catalog Record")</f>
        <v/>
      </c>
      <c r="AV322">
        <f>HYPERLINK("http://www.worldcat.org/oclc/246323","WorldCat Record")</f>
        <v/>
      </c>
      <c r="AW322" t="inlineStr">
        <is>
          <t>1400736:eng</t>
        </is>
      </c>
      <c r="AX322" t="inlineStr">
        <is>
          <t>246323</t>
        </is>
      </c>
      <c r="AY322" t="inlineStr">
        <is>
          <t>991001925439702656</t>
        </is>
      </c>
      <c r="AZ322" t="inlineStr">
        <is>
          <t>991001925439702656</t>
        </is>
      </c>
      <c r="BA322" t="inlineStr">
        <is>
          <t>2257289650002656</t>
        </is>
      </c>
      <c r="BB322" t="inlineStr">
        <is>
          <t>BOOK</t>
        </is>
      </c>
      <c r="BE322" t="inlineStr">
        <is>
          <t>32285000320027</t>
        </is>
      </c>
      <c r="BF322" t="inlineStr">
        <is>
          <t>893684767</t>
        </is>
      </c>
    </row>
    <row r="323">
      <c r="A323" t="inlineStr">
        <is>
          <t>No</t>
        </is>
      </c>
      <c r="B323" t="inlineStr">
        <is>
          <t>CURAL</t>
        </is>
      </c>
      <c r="C323" t="inlineStr">
        <is>
          <t>SHELVES</t>
        </is>
      </c>
      <c r="D323" t="inlineStr">
        <is>
          <t>BL51 .L39</t>
        </is>
      </c>
      <c r="E323" t="inlineStr">
        <is>
          <t>0                      BL 0051000L  39</t>
        </is>
      </c>
      <c r="F323" t="inlineStr">
        <is>
          <t>Raid on the inarticulate : an invitation to adult religion / Michael G. Lawler.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Lawler, Michael G.</t>
        </is>
      </c>
      <c r="N323" t="inlineStr">
        <is>
          <t>Lanham, Md. : University Press of America, 1980.</t>
        </is>
      </c>
      <c r="O323" t="inlineStr">
        <is>
          <t>1980</t>
        </is>
      </c>
      <c r="Q323" t="inlineStr">
        <is>
          <t>eng</t>
        </is>
      </c>
      <c r="R323" t="inlineStr">
        <is>
          <t>mdu</t>
        </is>
      </c>
      <c r="T323" t="inlineStr">
        <is>
          <t xml:space="preserve">BL </t>
        </is>
      </c>
      <c r="U323" t="n">
        <v>6</v>
      </c>
      <c r="V323" t="n">
        <v>6</v>
      </c>
      <c r="W323" t="inlineStr">
        <is>
          <t>2005-01-21</t>
        </is>
      </c>
      <c r="X323" t="inlineStr">
        <is>
          <t>2005-01-21</t>
        </is>
      </c>
      <c r="Y323" t="inlineStr">
        <is>
          <t>1990-09-25</t>
        </is>
      </c>
      <c r="Z323" t="inlineStr">
        <is>
          <t>1990-09-25</t>
        </is>
      </c>
      <c r="AA323" t="n">
        <v>138</v>
      </c>
      <c r="AB323" t="n">
        <v>123</v>
      </c>
      <c r="AC323" t="n">
        <v>123</v>
      </c>
      <c r="AD323" t="n">
        <v>2</v>
      </c>
      <c r="AE323" t="n">
        <v>2</v>
      </c>
      <c r="AF323" t="n">
        <v>13</v>
      </c>
      <c r="AG323" t="n">
        <v>13</v>
      </c>
      <c r="AH323" t="n">
        <v>2</v>
      </c>
      <c r="AI323" t="n">
        <v>2</v>
      </c>
      <c r="AJ323" t="n">
        <v>3</v>
      </c>
      <c r="AK323" t="n">
        <v>3</v>
      </c>
      <c r="AL323" t="n">
        <v>10</v>
      </c>
      <c r="AM323" t="n">
        <v>10</v>
      </c>
      <c r="AN323" t="n">
        <v>1</v>
      </c>
      <c r="AO323" t="n">
        <v>1</v>
      </c>
      <c r="AP323" t="n">
        <v>0</v>
      </c>
      <c r="AQ323" t="n">
        <v>0</v>
      </c>
      <c r="AR323" t="inlineStr">
        <is>
          <t>No</t>
        </is>
      </c>
      <c r="AS323" t="inlineStr">
        <is>
          <t>No</t>
        </is>
      </c>
      <c r="AU323">
        <f>HYPERLINK("https://creighton-primo.hosted.exlibrisgroup.com/primo-explore/search?tab=default_tab&amp;search_scope=EVERYTHING&amp;vid=01CRU&amp;lang=en_US&amp;offset=0&amp;query=any,contains,991005077049702656","Catalog Record")</f>
        <v/>
      </c>
      <c r="AV323">
        <f>HYPERLINK("http://www.worldcat.org/oclc/7134786","WorldCat Record")</f>
        <v/>
      </c>
      <c r="AW323" t="inlineStr">
        <is>
          <t>26358363:eng</t>
        </is>
      </c>
      <c r="AX323" t="inlineStr">
        <is>
          <t>7134786</t>
        </is>
      </c>
      <c r="AY323" t="inlineStr">
        <is>
          <t>991005077049702656</t>
        </is>
      </c>
      <c r="AZ323" t="inlineStr">
        <is>
          <t>991005077049702656</t>
        </is>
      </c>
      <c r="BA323" t="inlineStr">
        <is>
          <t>2267970910002656</t>
        </is>
      </c>
      <c r="BB323" t="inlineStr">
        <is>
          <t>BOOK</t>
        </is>
      </c>
      <c r="BD323" t="inlineStr">
        <is>
          <t>9780819111869</t>
        </is>
      </c>
      <c r="BE323" t="inlineStr">
        <is>
          <t>32285000320035</t>
        </is>
      </c>
      <c r="BF323" t="inlineStr">
        <is>
          <t>893700997</t>
        </is>
      </c>
    </row>
    <row r="324">
      <c r="A324" t="inlineStr">
        <is>
          <t>No</t>
        </is>
      </c>
      <c r="B324" t="inlineStr">
        <is>
          <t>CURAL</t>
        </is>
      </c>
      <c r="C324" t="inlineStr">
        <is>
          <t>SHELVES</t>
        </is>
      </c>
      <c r="D324" t="inlineStr">
        <is>
          <t>BL51 .L468</t>
        </is>
      </c>
      <c r="E324" t="inlineStr">
        <is>
          <t>0                      BL 0051000L  468</t>
        </is>
      </c>
      <c r="F324" t="inlineStr">
        <is>
          <t>Philosophy of religion, by H. D. Lewis.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Lewis, Hywel D., 1910-1992.</t>
        </is>
      </c>
      <c r="N324" t="inlineStr">
        <is>
          <t>London, English Universities Press [1965] 1972 prnting.</t>
        </is>
      </c>
      <c r="O324" t="inlineStr">
        <is>
          <t>1965</t>
        </is>
      </c>
      <c r="Q324" t="inlineStr">
        <is>
          <t>eng</t>
        </is>
      </c>
      <c r="R324" t="inlineStr">
        <is>
          <t>___</t>
        </is>
      </c>
      <c r="S324" t="inlineStr">
        <is>
          <t>The Teach yourself books</t>
        </is>
      </c>
      <c r="T324" t="inlineStr">
        <is>
          <t xml:space="preserve">BL </t>
        </is>
      </c>
      <c r="U324" t="n">
        <v>4</v>
      </c>
      <c r="V324" t="n">
        <v>4</v>
      </c>
      <c r="W324" t="inlineStr">
        <is>
          <t>2008-12-08</t>
        </is>
      </c>
      <c r="X324" t="inlineStr">
        <is>
          <t>2008-12-08</t>
        </is>
      </c>
      <c r="Y324" t="inlineStr">
        <is>
          <t>1990-09-25</t>
        </is>
      </c>
      <c r="Z324" t="inlineStr">
        <is>
          <t>1990-09-25</t>
        </is>
      </c>
      <c r="AA324" t="n">
        <v>454</v>
      </c>
      <c r="AB324" t="n">
        <v>317</v>
      </c>
      <c r="AC324" t="n">
        <v>355</v>
      </c>
      <c r="AD324" t="n">
        <v>2</v>
      </c>
      <c r="AE324" t="n">
        <v>2</v>
      </c>
      <c r="AF324" t="n">
        <v>13</v>
      </c>
      <c r="AG324" t="n">
        <v>14</v>
      </c>
      <c r="AH324" t="n">
        <v>5</v>
      </c>
      <c r="AI324" t="n">
        <v>6</v>
      </c>
      <c r="AJ324" t="n">
        <v>1</v>
      </c>
      <c r="AK324" t="n">
        <v>1</v>
      </c>
      <c r="AL324" t="n">
        <v>11</v>
      </c>
      <c r="AM324" t="n">
        <v>12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HYPERLINK("http://catalog.hathitrust.org/Record/001391275","HathiTrust Record")</f>
        <v/>
      </c>
      <c r="AU324">
        <f>HYPERLINK("https://creighton-primo.hosted.exlibrisgroup.com/primo-explore/search?tab=default_tab&amp;search_scope=EVERYTHING&amp;vid=01CRU&amp;lang=en_US&amp;offset=0&amp;query=any,contains,991002328079702656","Catalog Record")</f>
        <v/>
      </c>
      <c r="AV324">
        <f>HYPERLINK("http://www.worldcat.org/oclc/321424","WorldCat Record")</f>
        <v/>
      </c>
      <c r="AW324" t="inlineStr">
        <is>
          <t>1401997:eng</t>
        </is>
      </c>
      <c r="AX324" t="inlineStr">
        <is>
          <t>321424</t>
        </is>
      </c>
      <c r="AY324" t="inlineStr">
        <is>
          <t>991002328079702656</t>
        </is>
      </c>
      <c r="AZ324" t="inlineStr">
        <is>
          <t>991002328079702656</t>
        </is>
      </c>
      <c r="BA324" t="inlineStr">
        <is>
          <t>2255920010002656</t>
        </is>
      </c>
      <c r="BB324" t="inlineStr">
        <is>
          <t>BOOK</t>
        </is>
      </c>
      <c r="BE324" t="inlineStr">
        <is>
          <t>32285000320084</t>
        </is>
      </c>
      <c r="BF324" t="inlineStr">
        <is>
          <t>893615990</t>
        </is>
      </c>
    </row>
    <row r="325">
      <c r="A325" t="inlineStr">
        <is>
          <t>No</t>
        </is>
      </c>
      <c r="B325" t="inlineStr">
        <is>
          <t>CURAL</t>
        </is>
      </c>
      <c r="C325" t="inlineStr">
        <is>
          <t>SHELVES</t>
        </is>
      </c>
      <c r="D325" t="inlineStr">
        <is>
          <t>BL51 .M2148</t>
        </is>
      </c>
      <c r="E325" t="inlineStr">
        <is>
          <t>0                      BL 0051000M  2148</t>
        </is>
      </c>
      <c r="F325" t="inlineStr">
        <is>
          <t>Philosophical issues in religious thought.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M325" t="inlineStr">
        <is>
          <t>MacGregor, Geddes.</t>
        </is>
      </c>
      <c r="N325" t="inlineStr">
        <is>
          <t>Boston, Houghton Mifflin [1972, c1973]</t>
        </is>
      </c>
      <c r="O325" t="inlineStr">
        <is>
          <t>1972</t>
        </is>
      </c>
      <c r="Q325" t="inlineStr">
        <is>
          <t>eng</t>
        </is>
      </c>
      <c r="R325" t="inlineStr">
        <is>
          <t>mau</t>
        </is>
      </c>
      <c r="T325" t="inlineStr">
        <is>
          <t xml:space="preserve">BL </t>
        </is>
      </c>
      <c r="U325" t="n">
        <v>5</v>
      </c>
      <c r="V325" t="n">
        <v>5</v>
      </c>
      <c r="W325" t="inlineStr">
        <is>
          <t>1999-03-25</t>
        </is>
      </c>
      <c r="X325" t="inlineStr">
        <is>
          <t>1999-03-25</t>
        </is>
      </c>
      <c r="Y325" t="inlineStr">
        <is>
          <t>1990-09-25</t>
        </is>
      </c>
      <c r="Z325" t="inlineStr">
        <is>
          <t>1990-09-25</t>
        </is>
      </c>
      <c r="AA325" t="n">
        <v>472</v>
      </c>
      <c r="AB325" t="n">
        <v>400</v>
      </c>
      <c r="AC325" t="n">
        <v>449</v>
      </c>
      <c r="AD325" t="n">
        <v>3</v>
      </c>
      <c r="AE325" t="n">
        <v>3</v>
      </c>
      <c r="AF325" t="n">
        <v>19</v>
      </c>
      <c r="AG325" t="n">
        <v>22</v>
      </c>
      <c r="AH325" t="n">
        <v>8</v>
      </c>
      <c r="AI325" t="n">
        <v>10</v>
      </c>
      <c r="AJ325" t="n">
        <v>6</v>
      </c>
      <c r="AK325" t="n">
        <v>6</v>
      </c>
      <c r="AL325" t="n">
        <v>11</v>
      </c>
      <c r="AM325" t="n">
        <v>12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HYPERLINK("http://catalog.hathitrust.org/Record/001391279","HathiTrust Record")</f>
        <v/>
      </c>
      <c r="AU325">
        <f>HYPERLINK("https://creighton-primo.hosted.exlibrisgroup.com/primo-explore/search?tab=default_tab&amp;search_scope=EVERYTHING&amp;vid=01CRU&amp;lang=en_US&amp;offset=0&amp;query=any,contains,991003011039702656","Catalog Record")</f>
        <v/>
      </c>
      <c r="AV325">
        <f>HYPERLINK("http://www.worldcat.org/oclc/577968","WorldCat Record")</f>
        <v/>
      </c>
      <c r="AW325" t="inlineStr">
        <is>
          <t>1711760:eng</t>
        </is>
      </c>
      <c r="AX325" t="inlineStr">
        <is>
          <t>577968</t>
        </is>
      </c>
      <c r="AY325" t="inlineStr">
        <is>
          <t>991003011039702656</t>
        </is>
      </c>
      <c r="AZ325" t="inlineStr">
        <is>
          <t>991003011039702656</t>
        </is>
      </c>
      <c r="BA325" t="inlineStr">
        <is>
          <t>2259509830002656</t>
        </is>
      </c>
      <c r="BB325" t="inlineStr">
        <is>
          <t>BOOK</t>
        </is>
      </c>
      <c r="BD325" t="inlineStr">
        <is>
          <t>9780395140451</t>
        </is>
      </c>
      <c r="BE325" t="inlineStr">
        <is>
          <t>32285000320126</t>
        </is>
      </c>
      <c r="BF325" t="inlineStr">
        <is>
          <t>893887035</t>
        </is>
      </c>
    </row>
    <row r="326">
      <c r="A326" t="inlineStr">
        <is>
          <t>No</t>
        </is>
      </c>
      <c r="B326" t="inlineStr">
        <is>
          <t>CURAL</t>
        </is>
      </c>
      <c r="C326" t="inlineStr">
        <is>
          <t>SHELVES</t>
        </is>
      </c>
      <c r="D326" t="inlineStr">
        <is>
          <t>BL51 .M236</t>
        </is>
      </c>
      <c r="E326" t="inlineStr">
        <is>
          <t>0                      BL 0051000M  236</t>
        </is>
      </c>
      <c r="F326" t="inlineStr">
        <is>
          <t>Religion in contemporary thought [by] George F. McLean.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McLean, George F.</t>
        </is>
      </c>
      <c r="N326" t="inlineStr">
        <is>
          <t>Staten Island, N.Y., Alba House [1973]</t>
        </is>
      </c>
      <c r="O326" t="inlineStr">
        <is>
          <t>1973</t>
        </is>
      </c>
      <c r="Q326" t="inlineStr">
        <is>
          <t>eng</t>
        </is>
      </c>
      <c r="R326" t="inlineStr">
        <is>
          <t>nyu</t>
        </is>
      </c>
      <c r="T326" t="inlineStr">
        <is>
          <t xml:space="preserve">BL </t>
        </is>
      </c>
      <c r="U326" t="n">
        <v>2</v>
      </c>
      <c r="V326" t="n">
        <v>2</v>
      </c>
      <c r="W326" t="inlineStr">
        <is>
          <t>1999-04-28</t>
        </is>
      </c>
      <c r="X326" t="inlineStr">
        <is>
          <t>1999-04-28</t>
        </is>
      </c>
      <c r="Y326" t="inlineStr">
        <is>
          <t>1990-09-25</t>
        </is>
      </c>
      <c r="Z326" t="inlineStr">
        <is>
          <t>1990-09-25</t>
        </is>
      </c>
      <c r="AA326" t="n">
        <v>234</v>
      </c>
      <c r="AB326" t="n">
        <v>195</v>
      </c>
      <c r="AC326" t="n">
        <v>201</v>
      </c>
      <c r="AD326" t="n">
        <v>3</v>
      </c>
      <c r="AE326" t="n">
        <v>3</v>
      </c>
      <c r="AF326" t="n">
        <v>24</v>
      </c>
      <c r="AG326" t="n">
        <v>24</v>
      </c>
      <c r="AH326" t="n">
        <v>8</v>
      </c>
      <c r="AI326" t="n">
        <v>8</v>
      </c>
      <c r="AJ326" t="n">
        <v>6</v>
      </c>
      <c r="AK326" t="n">
        <v>6</v>
      </c>
      <c r="AL326" t="n">
        <v>20</v>
      </c>
      <c r="AM326" t="n">
        <v>20</v>
      </c>
      <c r="AN326" t="n">
        <v>1</v>
      </c>
      <c r="AO326" t="n">
        <v>1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HYPERLINK("http://catalog.hathitrust.org/Record/101870538","HathiTrust Record")</f>
        <v/>
      </c>
      <c r="AU326">
        <f>HYPERLINK("https://creighton-primo.hosted.exlibrisgroup.com/primo-explore/search?tab=default_tab&amp;search_scope=EVERYTHING&amp;vid=01CRU&amp;lang=en_US&amp;offset=0&amp;query=any,contains,991005253919702656","Catalog Record")</f>
        <v/>
      </c>
      <c r="AV326">
        <f>HYPERLINK("http://www.worldcat.org/oclc/388727","WorldCat Record")</f>
        <v/>
      </c>
      <c r="AW326" t="inlineStr">
        <is>
          <t>1517994:eng</t>
        </is>
      </c>
      <c r="AX326" t="inlineStr">
        <is>
          <t>388727</t>
        </is>
      </c>
      <c r="AY326" t="inlineStr">
        <is>
          <t>991005253919702656</t>
        </is>
      </c>
      <c r="AZ326" t="inlineStr">
        <is>
          <t>991005253919702656</t>
        </is>
      </c>
      <c r="BA326" t="inlineStr">
        <is>
          <t>2254911910002656</t>
        </is>
      </c>
      <c r="BB326" t="inlineStr">
        <is>
          <t>BOOK</t>
        </is>
      </c>
      <c r="BD326" t="inlineStr">
        <is>
          <t>9780818902567</t>
        </is>
      </c>
      <c r="BE326" t="inlineStr">
        <is>
          <t>32285000320142</t>
        </is>
      </c>
      <c r="BF326" t="inlineStr">
        <is>
          <t>893607081</t>
        </is>
      </c>
    </row>
    <row r="327">
      <c r="A327" t="inlineStr">
        <is>
          <t>No</t>
        </is>
      </c>
      <c r="B327" t="inlineStr">
        <is>
          <t>CURAL</t>
        </is>
      </c>
      <c r="C327" t="inlineStr">
        <is>
          <t>SHELVES</t>
        </is>
      </c>
      <c r="D327" t="inlineStr">
        <is>
          <t>BL51 .M3</t>
        </is>
      </c>
      <c r="E327" t="inlineStr">
        <is>
          <t>0                      BL 0051000M  3</t>
        </is>
      </c>
      <c r="F327" t="inlineStr">
        <is>
          <t>The borderlands of theology.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MacKinnon, Donald M. (Donald MacKenzie), 1913-1994.</t>
        </is>
      </c>
      <c r="N327" t="inlineStr">
        <is>
          <t>Cambridge [Eng.] University Press, 1961.</t>
        </is>
      </c>
      <c r="O327" t="inlineStr">
        <is>
          <t>1961</t>
        </is>
      </c>
      <c r="Q327" t="inlineStr">
        <is>
          <t>eng</t>
        </is>
      </c>
      <c r="R327" t="inlineStr">
        <is>
          <t>___</t>
        </is>
      </c>
      <c r="T327" t="inlineStr">
        <is>
          <t xml:space="preserve">BL </t>
        </is>
      </c>
      <c r="U327" t="n">
        <v>2</v>
      </c>
      <c r="V327" t="n">
        <v>2</v>
      </c>
      <c r="W327" t="inlineStr">
        <is>
          <t>1996-03-26</t>
        </is>
      </c>
      <c r="X327" t="inlineStr">
        <is>
          <t>1996-03-26</t>
        </is>
      </c>
      <c r="Y327" t="inlineStr">
        <is>
          <t>1990-09-25</t>
        </is>
      </c>
      <c r="Z327" t="inlineStr">
        <is>
          <t>1990-09-25</t>
        </is>
      </c>
      <c r="AA327" t="n">
        <v>117</v>
      </c>
      <c r="AB327" t="n">
        <v>107</v>
      </c>
      <c r="AC327" t="n">
        <v>332</v>
      </c>
      <c r="AD327" t="n">
        <v>1</v>
      </c>
      <c r="AE327" t="n">
        <v>2</v>
      </c>
      <c r="AF327" t="n">
        <v>5</v>
      </c>
      <c r="AG327" t="n">
        <v>17</v>
      </c>
      <c r="AH327" t="n">
        <v>1</v>
      </c>
      <c r="AI327" t="n">
        <v>4</v>
      </c>
      <c r="AJ327" t="n">
        <v>1</v>
      </c>
      <c r="AK327" t="n">
        <v>6</v>
      </c>
      <c r="AL327" t="n">
        <v>4</v>
      </c>
      <c r="AM327" t="n">
        <v>9</v>
      </c>
      <c r="AN327" t="n">
        <v>0</v>
      </c>
      <c r="AO327" t="n">
        <v>1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HYPERLINK("https://creighton-primo.hosted.exlibrisgroup.com/primo-explore/search?tab=default_tab&amp;search_scope=EVERYTHING&amp;vid=01CRU&amp;lang=en_US&amp;offset=0&amp;query=any,contains,991002611129702656","Catalog Record")</f>
        <v/>
      </c>
      <c r="AV327">
        <f>HYPERLINK("http://www.worldcat.org/oclc/377885","WorldCat Record")</f>
        <v/>
      </c>
      <c r="AW327" t="inlineStr">
        <is>
          <t>375312844:eng</t>
        </is>
      </c>
      <c r="AX327" t="inlineStr">
        <is>
          <t>377885</t>
        </is>
      </c>
      <c r="AY327" t="inlineStr">
        <is>
          <t>991002611129702656</t>
        </is>
      </c>
      <c r="AZ327" t="inlineStr">
        <is>
          <t>991002611129702656</t>
        </is>
      </c>
      <c r="BA327" t="inlineStr">
        <is>
          <t>2263086860002656</t>
        </is>
      </c>
      <c r="BB327" t="inlineStr">
        <is>
          <t>BOOK</t>
        </is>
      </c>
      <c r="BE327" t="inlineStr">
        <is>
          <t>32285000320159</t>
        </is>
      </c>
      <c r="BF327" t="inlineStr">
        <is>
          <t>893329312</t>
        </is>
      </c>
    </row>
    <row r="328">
      <c r="A328" t="inlineStr">
        <is>
          <t>No</t>
        </is>
      </c>
      <c r="B328" t="inlineStr">
        <is>
          <t>CURAL</t>
        </is>
      </c>
      <c r="C328" t="inlineStr">
        <is>
          <t>SHELVES</t>
        </is>
      </c>
      <c r="D328" t="inlineStr">
        <is>
          <t>BL51 .M343 1982</t>
        </is>
      </c>
      <c r="E328" t="inlineStr">
        <is>
          <t>0                      BL 0051000M  343         1982</t>
        </is>
      </c>
      <c r="F328" t="inlineStr">
        <is>
          <t>Creative fidelity / Gabriel Marcel ; translated and introd. by Robert Rosthal.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M328" t="inlineStr">
        <is>
          <t>Marcel, Gabriel, 1889-1973.</t>
        </is>
      </c>
      <c r="N328" t="inlineStr">
        <is>
          <t>New York : Crossroad Pr., 1982 ,c1964.</t>
        </is>
      </c>
      <c r="O328" t="inlineStr">
        <is>
          <t>1982</t>
        </is>
      </c>
      <c r="Q328" t="inlineStr">
        <is>
          <t>eng</t>
        </is>
      </c>
      <c r="R328" t="inlineStr">
        <is>
          <t>nyu</t>
        </is>
      </c>
      <c r="T328" t="inlineStr">
        <is>
          <t xml:space="preserve">BL </t>
        </is>
      </c>
      <c r="U328" t="n">
        <v>1</v>
      </c>
      <c r="V328" t="n">
        <v>1</v>
      </c>
      <c r="W328" t="inlineStr">
        <is>
          <t>1993-11-03</t>
        </is>
      </c>
      <c r="X328" t="inlineStr">
        <is>
          <t>1993-11-03</t>
        </is>
      </c>
      <c r="Y328" t="inlineStr">
        <is>
          <t>1990-09-27</t>
        </is>
      </c>
      <c r="Z328" t="inlineStr">
        <is>
          <t>1990-09-27</t>
        </is>
      </c>
      <c r="AA328" t="n">
        <v>115</v>
      </c>
      <c r="AB328" t="n">
        <v>90</v>
      </c>
      <c r="AC328" t="n">
        <v>805</v>
      </c>
      <c r="AD328" t="n">
        <v>1</v>
      </c>
      <c r="AE328" t="n">
        <v>9</v>
      </c>
      <c r="AF328" t="n">
        <v>5</v>
      </c>
      <c r="AG328" t="n">
        <v>47</v>
      </c>
      <c r="AH328" t="n">
        <v>1</v>
      </c>
      <c r="AI328" t="n">
        <v>18</v>
      </c>
      <c r="AJ328" t="n">
        <v>1</v>
      </c>
      <c r="AK328" t="n">
        <v>10</v>
      </c>
      <c r="AL328" t="n">
        <v>4</v>
      </c>
      <c r="AM328" t="n">
        <v>27</v>
      </c>
      <c r="AN328" t="n">
        <v>0</v>
      </c>
      <c r="AO328" t="n">
        <v>6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HYPERLINK("https://creighton-primo.hosted.exlibrisgroup.com/primo-explore/search?tab=default_tab&amp;search_scope=EVERYTHING&amp;vid=01CRU&amp;lang=en_US&amp;offset=0&amp;query=any,contains,991000053539702656","Catalog Record")</f>
        <v/>
      </c>
      <c r="AV328">
        <f>HYPERLINK("http://www.worldcat.org/oclc/8695375","WorldCat Record")</f>
        <v/>
      </c>
      <c r="AW328" t="inlineStr">
        <is>
          <t>1020590:eng</t>
        </is>
      </c>
      <c r="AX328" t="inlineStr">
        <is>
          <t>8695375</t>
        </is>
      </c>
      <c r="AY328" t="inlineStr">
        <is>
          <t>991000053539702656</t>
        </is>
      </c>
      <c r="AZ328" t="inlineStr">
        <is>
          <t>991000053539702656</t>
        </is>
      </c>
      <c r="BA328" t="inlineStr">
        <is>
          <t>2264936790002656</t>
        </is>
      </c>
      <c r="BB328" t="inlineStr">
        <is>
          <t>BOOK</t>
        </is>
      </c>
      <c r="BE328" t="inlineStr">
        <is>
          <t>32285000322320</t>
        </is>
      </c>
      <c r="BF328" t="inlineStr">
        <is>
          <t>893595220</t>
        </is>
      </c>
    </row>
    <row r="329">
      <c r="A329" t="inlineStr">
        <is>
          <t>No</t>
        </is>
      </c>
      <c r="B329" t="inlineStr">
        <is>
          <t>CURAL</t>
        </is>
      </c>
      <c r="C329" t="inlineStr">
        <is>
          <t>SHELVES</t>
        </is>
      </c>
      <c r="D329" t="inlineStr">
        <is>
          <t>BL51 .M476</t>
        </is>
      </c>
      <c r="E329" t="inlineStr">
        <is>
          <t>0                      BL 0051000M  476</t>
        </is>
      </c>
      <c r="F329" t="inlineStr">
        <is>
          <t>Problems and perspectives in the philosophy of religion, edited by George I. Mavrodes [and] Stuart C. Hackett.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M329" t="inlineStr">
        <is>
          <t>Mavrodes, George I., compiler.</t>
        </is>
      </c>
      <c r="N329" t="inlineStr">
        <is>
          <t>Boston, Allyn and Bacon [1967]</t>
        </is>
      </c>
      <c r="O329" t="inlineStr">
        <is>
          <t>1967</t>
        </is>
      </c>
      <c r="Q329" t="inlineStr">
        <is>
          <t>eng</t>
        </is>
      </c>
      <c r="R329" t="inlineStr">
        <is>
          <t>mau</t>
        </is>
      </c>
      <c r="T329" t="inlineStr">
        <is>
          <t xml:space="preserve">BL </t>
        </is>
      </c>
      <c r="U329" t="n">
        <v>1</v>
      </c>
      <c r="V329" t="n">
        <v>1</v>
      </c>
      <c r="W329" t="inlineStr">
        <is>
          <t>2002-04-14</t>
        </is>
      </c>
      <c r="X329" t="inlineStr">
        <is>
          <t>2002-04-14</t>
        </is>
      </c>
      <c r="Y329" t="inlineStr">
        <is>
          <t>1990-09-25</t>
        </is>
      </c>
      <c r="Z329" t="inlineStr">
        <is>
          <t>1990-09-25</t>
        </is>
      </c>
      <c r="AA329" t="n">
        <v>413</v>
      </c>
      <c r="AB329" t="n">
        <v>363</v>
      </c>
      <c r="AC329" t="n">
        <v>370</v>
      </c>
      <c r="AD329" t="n">
        <v>5</v>
      </c>
      <c r="AE329" t="n">
        <v>5</v>
      </c>
      <c r="AF329" t="n">
        <v>21</v>
      </c>
      <c r="AG329" t="n">
        <v>21</v>
      </c>
      <c r="AH329" t="n">
        <v>8</v>
      </c>
      <c r="AI329" t="n">
        <v>8</v>
      </c>
      <c r="AJ329" t="n">
        <v>2</v>
      </c>
      <c r="AK329" t="n">
        <v>2</v>
      </c>
      <c r="AL329" t="n">
        <v>10</v>
      </c>
      <c r="AM329" t="n">
        <v>10</v>
      </c>
      <c r="AN329" t="n">
        <v>4</v>
      </c>
      <c r="AO329" t="n">
        <v>4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HYPERLINK("http://catalog.hathitrust.org/Record/001391292","HathiTrust Record")</f>
        <v/>
      </c>
      <c r="AU329">
        <f>HYPERLINK("https://creighton-primo.hosted.exlibrisgroup.com/primo-explore/search?tab=default_tab&amp;search_scope=EVERYTHING&amp;vid=01CRU&amp;lang=en_US&amp;offset=0&amp;query=any,contains,991002326289702656","Catalog Record")</f>
        <v/>
      </c>
      <c r="AV329">
        <f>HYPERLINK("http://www.worldcat.org/oclc/320963","WorldCat Record")</f>
        <v/>
      </c>
      <c r="AW329" t="inlineStr">
        <is>
          <t>364447486:eng</t>
        </is>
      </c>
      <c r="AX329" t="inlineStr">
        <is>
          <t>320963</t>
        </is>
      </c>
      <c r="AY329" t="inlineStr">
        <is>
          <t>991002326289702656</t>
        </is>
      </c>
      <c r="AZ329" t="inlineStr">
        <is>
          <t>991002326289702656</t>
        </is>
      </c>
      <c r="BA329" t="inlineStr">
        <is>
          <t>2255889670002656</t>
        </is>
      </c>
      <c r="BB329" t="inlineStr">
        <is>
          <t>BOOK</t>
        </is>
      </c>
      <c r="BE329" t="inlineStr">
        <is>
          <t>32285000320217</t>
        </is>
      </c>
      <c r="BF329" t="inlineStr">
        <is>
          <t>893316687</t>
        </is>
      </c>
    </row>
    <row r="330">
      <c r="A330" t="inlineStr">
        <is>
          <t>No</t>
        </is>
      </c>
      <c r="B330" t="inlineStr">
        <is>
          <t>CURAL</t>
        </is>
      </c>
      <c r="C330" t="inlineStr">
        <is>
          <t>SHELVES</t>
        </is>
      </c>
      <c r="D330" t="inlineStr">
        <is>
          <t>BL51 .M483 1982</t>
        </is>
      </c>
      <c r="E330" t="inlineStr">
        <is>
          <t>0                      BL 0051000M  483         1982</t>
        </is>
      </c>
      <c r="F330" t="inlineStr">
        <is>
          <t>Meaning, truth, and God / edited by Leroy S. Rouner.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Notre Dame : University of Notre Dame Press, c1982.</t>
        </is>
      </c>
      <c r="O330" t="inlineStr">
        <is>
          <t>1982</t>
        </is>
      </c>
      <c r="Q330" t="inlineStr">
        <is>
          <t>eng</t>
        </is>
      </c>
      <c r="R330" t="inlineStr">
        <is>
          <t>inu</t>
        </is>
      </c>
      <c r="S330" t="inlineStr">
        <is>
          <t>Boston University studies in philosophy and religion ; v. 3</t>
        </is>
      </c>
      <c r="T330" t="inlineStr">
        <is>
          <t xml:space="preserve">BL </t>
        </is>
      </c>
      <c r="U330" t="n">
        <v>5</v>
      </c>
      <c r="V330" t="n">
        <v>5</v>
      </c>
      <c r="W330" t="inlineStr">
        <is>
          <t>2006-11-22</t>
        </is>
      </c>
      <c r="X330" t="inlineStr">
        <is>
          <t>2006-11-22</t>
        </is>
      </c>
      <c r="Y330" t="inlineStr">
        <is>
          <t>1990-09-25</t>
        </is>
      </c>
      <c r="Z330" t="inlineStr">
        <is>
          <t>1990-09-25</t>
        </is>
      </c>
      <c r="AA330" t="n">
        <v>606</v>
      </c>
      <c r="AB330" t="n">
        <v>531</v>
      </c>
      <c r="AC330" t="n">
        <v>532</v>
      </c>
      <c r="AD330" t="n">
        <v>6</v>
      </c>
      <c r="AE330" t="n">
        <v>6</v>
      </c>
      <c r="AF330" t="n">
        <v>34</v>
      </c>
      <c r="AG330" t="n">
        <v>34</v>
      </c>
      <c r="AH330" t="n">
        <v>11</v>
      </c>
      <c r="AI330" t="n">
        <v>11</v>
      </c>
      <c r="AJ330" t="n">
        <v>9</v>
      </c>
      <c r="AK330" t="n">
        <v>9</v>
      </c>
      <c r="AL330" t="n">
        <v>19</v>
      </c>
      <c r="AM330" t="n">
        <v>19</v>
      </c>
      <c r="AN330" t="n">
        <v>4</v>
      </c>
      <c r="AO330" t="n">
        <v>4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HYPERLINK("http://catalog.hathitrust.org/Record/000153125","HathiTrust Record")</f>
        <v/>
      </c>
      <c r="AU330">
        <f>HYPERLINK("https://creighton-primo.hosted.exlibrisgroup.com/primo-explore/search?tab=default_tab&amp;search_scope=EVERYTHING&amp;vid=01CRU&amp;lang=en_US&amp;offset=0&amp;query=any,contains,991005242029702656","Catalog Record")</f>
        <v/>
      </c>
      <c r="AV330">
        <f>HYPERLINK("http://www.worldcat.org/oclc/8430301","WorldCat Record")</f>
        <v/>
      </c>
      <c r="AW330" t="inlineStr">
        <is>
          <t>5219016239:eng</t>
        </is>
      </c>
      <c r="AX330" t="inlineStr">
        <is>
          <t>8430301</t>
        </is>
      </c>
      <c r="AY330" t="inlineStr">
        <is>
          <t>991005242029702656</t>
        </is>
      </c>
      <c r="AZ330" t="inlineStr">
        <is>
          <t>991005242029702656</t>
        </is>
      </c>
      <c r="BA330" t="inlineStr">
        <is>
          <t>2261347020002656</t>
        </is>
      </c>
      <c r="BB330" t="inlineStr">
        <is>
          <t>BOOK</t>
        </is>
      </c>
      <c r="BD330" t="inlineStr">
        <is>
          <t>9780268013554</t>
        </is>
      </c>
      <c r="BE330" t="inlineStr">
        <is>
          <t>32285000320225</t>
        </is>
      </c>
      <c r="BF330" t="inlineStr">
        <is>
          <t>893533429</t>
        </is>
      </c>
    </row>
    <row r="331">
      <c r="A331" t="inlineStr">
        <is>
          <t>No</t>
        </is>
      </c>
      <c r="B331" t="inlineStr">
        <is>
          <t>CURAL</t>
        </is>
      </c>
      <c r="C331" t="inlineStr">
        <is>
          <t>SHELVES</t>
        </is>
      </c>
      <c r="D331" t="inlineStr">
        <is>
          <t>BL51 .M654 1974</t>
        </is>
      </c>
      <c r="E331" t="inlineStr">
        <is>
          <t>0                      BL 0051000M  654         1974</t>
        </is>
      </c>
      <c r="F331" t="inlineStr">
        <is>
          <t>The justification of religious belief.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Mitchell, Basil, 1917-2011.</t>
        </is>
      </c>
      <c r="N331" t="inlineStr">
        <is>
          <t>New York : Seabury Press, [1974]</t>
        </is>
      </c>
      <c r="O331" t="inlineStr">
        <is>
          <t>1974</t>
        </is>
      </c>
      <c r="Q331" t="inlineStr">
        <is>
          <t>eng</t>
        </is>
      </c>
      <c r="R331" t="inlineStr">
        <is>
          <t>nyu</t>
        </is>
      </c>
      <c r="S331" t="inlineStr">
        <is>
          <t>Philosophy of religion series</t>
        </is>
      </c>
      <c r="T331" t="inlineStr">
        <is>
          <t xml:space="preserve">BL </t>
        </is>
      </c>
      <c r="U331" t="n">
        <v>4</v>
      </c>
      <c r="V331" t="n">
        <v>4</v>
      </c>
      <c r="W331" t="inlineStr">
        <is>
          <t>2002-05-07</t>
        </is>
      </c>
      <c r="X331" t="inlineStr">
        <is>
          <t>2002-05-07</t>
        </is>
      </c>
      <c r="Y331" t="inlineStr">
        <is>
          <t>1990-09-26</t>
        </is>
      </c>
      <c r="Z331" t="inlineStr">
        <is>
          <t>1990-09-26</t>
        </is>
      </c>
      <c r="AA331" t="n">
        <v>223</v>
      </c>
      <c r="AB331" t="n">
        <v>207</v>
      </c>
      <c r="AC331" t="n">
        <v>569</v>
      </c>
      <c r="AD331" t="n">
        <v>1</v>
      </c>
      <c r="AE331" t="n">
        <v>2</v>
      </c>
      <c r="AF331" t="n">
        <v>13</v>
      </c>
      <c r="AG331" t="n">
        <v>34</v>
      </c>
      <c r="AH331" t="n">
        <v>2</v>
      </c>
      <c r="AI331" t="n">
        <v>14</v>
      </c>
      <c r="AJ331" t="n">
        <v>2</v>
      </c>
      <c r="AK331" t="n">
        <v>9</v>
      </c>
      <c r="AL331" t="n">
        <v>12</v>
      </c>
      <c r="AM331" t="n">
        <v>24</v>
      </c>
      <c r="AN331" t="n">
        <v>0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HYPERLINK("https://creighton-primo.hosted.exlibrisgroup.com/primo-explore/search?tab=default_tab&amp;search_scope=EVERYTHING&amp;vid=01CRU&amp;lang=en_US&amp;offset=0&amp;query=any,contains,991003264419702656","Catalog Record")</f>
        <v/>
      </c>
      <c r="AV331">
        <f>HYPERLINK("http://www.worldcat.org/oclc/790269","WorldCat Record")</f>
        <v/>
      </c>
      <c r="AW331" t="inlineStr">
        <is>
          <t>1678751:eng</t>
        </is>
      </c>
      <c r="AX331" t="inlineStr">
        <is>
          <t>790269</t>
        </is>
      </c>
      <c r="AY331" t="inlineStr">
        <is>
          <t>991003264419702656</t>
        </is>
      </c>
      <c r="AZ331" t="inlineStr">
        <is>
          <t>991003264419702656</t>
        </is>
      </c>
      <c r="BA331" t="inlineStr">
        <is>
          <t>2264058240002656</t>
        </is>
      </c>
      <c r="BB331" t="inlineStr">
        <is>
          <t>BOOK</t>
        </is>
      </c>
      <c r="BD331" t="inlineStr">
        <is>
          <t>9780816411528</t>
        </is>
      </c>
      <c r="BE331" t="inlineStr">
        <is>
          <t>32285000322189</t>
        </is>
      </c>
      <c r="BF331" t="inlineStr">
        <is>
          <t>893793466</t>
        </is>
      </c>
    </row>
    <row r="332">
      <c r="A332" t="inlineStr">
        <is>
          <t>No</t>
        </is>
      </c>
      <c r="B332" t="inlineStr">
        <is>
          <t>CURAL</t>
        </is>
      </c>
      <c r="C332" t="inlineStr">
        <is>
          <t>SHELVES</t>
        </is>
      </c>
      <c r="D332" t="inlineStr">
        <is>
          <t>BL51 .M87</t>
        </is>
      </c>
      <c r="E332" t="inlineStr">
        <is>
          <t>0                      BL 0051000M  87</t>
        </is>
      </c>
      <c r="F332" t="inlineStr">
        <is>
          <t>Reflective theology; philosophical orientations in religion, by Thomas N. Munson.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M332" t="inlineStr">
        <is>
          <t>Munson, Thomas N.</t>
        </is>
      </c>
      <c r="N332" t="inlineStr">
        <is>
          <t>New Haven, Yale University Press, 1968.</t>
        </is>
      </c>
      <c r="O332" t="inlineStr">
        <is>
          <t>1968</t>
        </is>
      </c>
      <c r="Q332" t="inlineStr">
        <is>
          <t>eng</t>
        </is>
      </c>
      <c r="R332" t="inlineStr">
        <is>
          <t>ctu</t>
        </is>
      </c>
      <c r="T332" t="inlineStr">
        <is>
          <t xml:space="preserve">BL </t>
        </is>
      </c>
      <c r="U332" t="n">
        <v>1</v>
      </c>
      <c r="V332" t="n">
        <v>1</v>
      </c>
      <c r="W332" t="inlineStr">
        <is>
          <t>2004-12-07</t>
        </is>
      </c>
      <c r="X332" t="inlineStr">
        <is>
          <t>2004-12-07</t>
        </is>
      </c>
      <c r="Y332" t="inlineStr">
        <is>
          <t>1990-09-25</t>
        </is>
      </c>
      <c r="Z332" t="inlineStr">
        <is>
          <t>1990-09-25</t>
        </is>
      </c>
      <c r="AA332" t="n">
        <v>553</v>
      </c>
      <c r="AB332" t="n">
        <v>482</v>
      </c>
      <c r="AC332" t="n">
        <v>521</v>
      </c>
      <c r="AD332" t="n">
        <v>2</v>
      </c>
      <c r="AE332" t="n">
        <v>3</v>
      </c>
      <c r="AF332" t="n">
        <v>27</v>
      </c>
      <c r="AG332" t="n">
        <v>28</v>
      </c>
      <c r="AH332" t="n">
        <v>7</v>
      </c>
      <c r="AI332" t="n">
        <v>7</v>
      </c>
      <c r="AJ332" t="n">
        <v>10</v>
      </c>
      <c r="AK332" t="n">
        <v>10</v>
      </c>
      <c r="AL332" t="n">
        <v>17</v>
      </c>
      <c r="AM332" t="n">
        <v>18</v>
      </c>
      <c r="AN332" t="n">
        <v>1</v>
      </c>
      <c r="AO332" t="n">
        <v>1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HYPERLINK("https://creighton-primo.hosted.exlibrisgroup.com/primo-explore/search?tab=default_tab&amp;search_scope=EVERYTHING&amp;vid=01CRU&amp;lang=en_US&amp;offset=0&amp;query=any,contains,991002326369702656","Catalog Record")</f>
        <v/>
      </c>
      <c r="AV332">
        <f>HYPERLINK("http://www.worldcat.org/oclc/320973","WorldCat Record")</f>
        <v/>
      </c>
      <c r="AW332" t="inlineStr">
        <is>
          <t>147144733:eng</t>
        </is>
      </c>
      <c r="AX332" t="inlineStr">
        <is>
          <t>320973</t>
        </is>
      </c>
      <c r="AY332" t="inlineStr">
        <is>
          <t>991002326369702656</t>
        </is>
      </c>
      <c r="AZ332" t="inlineStr">
        <is>
          <t>991002326369702656</t>
        </is>
      </c>
      <c r="BA332" t="inlineStr">
        <is>
          <t>2255874870002656</t>
        </is>
      </c>
      <c r="BB332" t="inlineStr">
        <is>
          <t>BOOK</t>
        </is>
      </c>
      <c r="BE332" t="inlineStr">
        <is>
          <t>32285000320274</t>
        </is>
      </c>
      <c r="BF332" t="inlineStr">
        <is>
          <t>893415077</t>
        </is>
      </c>
    </row>
    <row r="333">
      <c r="A333" t="inlineStr">
        <is>
          <t>No</t>
        </is>
      </c>
      <c r="B333" t="inlineStr">
        <is>
          <t>CURAL</t>
        </is>
      </c>
      <c r="C333" t="inlineStr">
        <is>
          <t>SHELVES</t>
        </is>
      </c>
      <c r="D333" t="inlineStr">
        <is>
          <t>BL51 .M93</t>
        </is>
      </c>
      <c r="E333" t="inlineStr">
        <is>
          <t>0                      BL 0051000M  93</t>
        </is>
      </c>
      <c r="F333" t="inlineStr">
        <is>
          <t>The sufficiency of hope : conceptual foundations of religion / James L. Muyskens.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Muyskens, James L., 1942-</t>
        </is>
      </c>
      <c r="N333" t="inlineStr">
        <is>
          <t>Philadelphia : Temple University Press, [1979]</t>
        </is>
      </c>
      <c r="O333" t="inlineStr">
        <is>
          <t>1979</t>
        </is>
      </c>
      <c r="Q333" t="inlineStr">
        <is>
          <t>eng</t>
        </is>
      </c>
      <c r="R333" t="inlineStr">
        <is>
          <t>pau</t>
        </is>
      </c>
      <c r="S333" t="inlineStr">
        <is>
          <t>Philosophical monographs</t>
        </is>
      </c>
      <c r="T333" t="inlineStr">
        <is>
          <t xml:space="preserve">BL </t>
        </is>
      </c>
      <c r="U333" t="n">
        <v>4</v>
      </c>
      <c r="V333" t="n">
        <v>4</v>
      </c>
      <c r="W333" t="inlineStr">
        <is>
          <t>2009-03-29</t>
        </is>
      </c>
      <c r="X333" t="inlineStr">
        <is>
          <t>2009-03-29</t>
        </is>
      </c>
      <c r="Y333" t="inlineStr">
        <is>
          <t>1990-09-25</t>
        </is>
      </c>
      <c r="Z333" t="inlineStr">
        <is>
          <t>1990-09-25</t>
        </is>
      </c>
      <c r="AA333" t="n">
        <v>380</v>
      </c>
      <c r="AB333" t="n">
        <v>339</v>
      </c>
      <c r="AC333" t="n">
        <v>344</v>
      </c>
      <c r="AD333" t="n">
        <v>4</v>
      </c>
      <c r="AE333" t="n">
        <v>4</v>
      </c>
      <c r="AF333" t="n">
        <v>21</v>
      </c>
      <c r="AG333" t="n">
        <v>21</v>
      </c>
      <c r="AH333" t="n">
        <v>9</v>
      </c>
      <c r="AI333" t="n">
        <v>9</v>
      </c>
      <c r="AJ333" t="n">
        <v>3</v>
      </c>
      <c r="AK333" t="n">
        <v>3</v>
      </c>
      <c r="AL333" t="n">
        <v>12</v>
      </c>
      <c r="AM333" t="n">
        <v>12</v>
      </c>
      <c r="AN333" t="n">
        <v>2</v>
      </c>
      <c r="AO333" t="n">
        <v>2</v>
      </c>
      <c r="AP333" t="n">
        <v>0</v>
      </c>
      <c r="AQ333" t="n">
        <v>0</v>
      </c>
      <c r="AR333" t="inlineStr">
        <is>
          <t>No</t>
        </is>
      </c>
      <c r="AS333" t="inlineStr">
        <is>
          <t>No</t>
        </is>
      </c>
      <c r="AU333">
        <f>HYPERLINK("https://creighton-primo.hosted.exlibrisgroup.com/primo-explore/search?tab=default_tab&amp;search_scope=EVERYTHING&amp;vid=01CRU&amp;lang=en_US&amp;offset=0&amp;query=any,contains,991004808289702656","Catalog Record")</f>
        <v/>
      </c>
      <c r="AV333">
        <f>HYPERLINK("http://www.worldcat.org/oclc/5264393","WorldCat Record")</f>
        <v/>
      </c>
      <c r="AW333" t="inlineStr">
        <is>
          <t>366465466:eng</t>
        </is>
      </c>
      <c r="AX333" t="inlineStr">
        <is>
          <t>5264393</t>
        </is>
      </c>
      <c r="AY333" t="inlineStr">
        <is>
          <t>991004808289702656</t>
        </is>
      </c>
      <c r="AZ333" t="inlineStr">
        <is>
          <t>991004808289702656</t>
        </is>
      </c>
      <c r="BA333" t="inlineStr">
        <is>
          <t>2258744860002656</t>
        </is>
      </c>
      <c r="BB333" t="inlineStr">
        <is>
          <t>BOOK</t>
        </is>
      </c>
      <c r="BD333" t="inlineStr">
        <is>
          <t>9780877221623</t>
        </is>
      </c>
      <c r="BE333" t="inlineStr">
        <is>
          <t>32285000320282</t>
        </is>
      </c>
      <c r="BF333" t="inlineStr">
        <is>
          <t>893260201</t>
        </is>
      </c>
    </row>
    <row r="334">
      <c r="A334" t="inlineStr">
        <is>
          <t>No</t>
        </is>
      </c>
      <c r="B334" t="inlineStr">
        <is>
          <t>CURAL</t>
        </is>
      </c>
      <c r="C334" t="inlineStr">
        <is>
          <t>SHELVES</t>
        </is>
      </c>
      <c r="D334" t="inlineStr">
        <is>
          <t>BL51 .N316</t>
        </is>
      </c>
      <c r="E334" t="inlineStr">
        <is>
          <t>0                      BL 0051000N  316</t>
        </is>
      </c>
      <c r="F334" t="inlineStr">
        <is>
          <t>Knowledge and the sacred / Seyyed Hossein Nasr.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Nasr, Seyyed Hossein.</t>
        </is>
      </c>
      <c r="N334" t="inlineStr">
        <is>
          <t>New York : Crossroad Pub. Co., 1981.</t>
        </is>
      </c>
      <c r="O334" t="inlineStr">
        <is>
          <t>1981</t>
        </is>
      </c>
      <c r="Q334" t="inlineStr">
        <is>
          <t>eng</t>
        </is>
      </c>
      <c r="R334" t="inlineStr">
        <is>
          <t>nyu</t>
        </is>
      </c>
      <c r="S334" t="inlineStr">
        <is>
          <t>Gifford lectures ; 1981</t>
        </is>
      </c>
      <c r="T334" t="inlineStr">
        <is>
          <t xml:space="preserve">BL </t>
        </is>
      </c>
      <c r="U334" t="n">
        <v>1</v>
      </c>
      <c r="V334" t="n">
        <v>1</v>
      </c>
      <c r="W334" t="inlineStr">
        <is>
          <t>1993-12-01</t>
        </is>
      </c>
      <c r="X334" t="inlineStr">
        <is>
          <t>1993-12-01</t>
        </is>
      </c>
      <c r="Y334" t="inlineStr">
        <is>
          <t>1990-09-25</t>
        </is>
      </c>
      <c r="Z334" t="inlineStr">
        <is>
          <t>1990-09-25</t>
        </is>
      </c>
      <c r="AA334" t="n">
        <v>416</v>
      </c>
      <c r="AB334" t="n">
        <v>370</v>
      </c>
      <c r="AC334" t="n">
        <v>558</v>
      </c>
      <c r="AD334" t="n">
        <v>2</v>
      </c>
      <c r="AE334" t="n">
        <v>3</v>
      </c>
      <c r="AF334" t="n">
        <v>23</v>
      </c>
      <c r="AG334" t="n">
        <v>31</v>
      </c>
      <c r="AH334" t="n">
        <v>8</v>
      </c>
      <c r="AI334" t="n">
        <v>12</v>
      </c>
      <c r="AJ334" t="n">
        <v>6</v>
      </c>
      <c r="AK334" t="n">
        <v>9</v>
      </c>
      <c r="AL334" t="n">
        <v>18</v>
      </c>
      <c r="AM334" t="n">
        <v>19</v>
      </c>
      <c r="AN334" t="n">
        <v>1</v>
      </c>
      <c r="AO334" t="n">
        <v>2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HYPERLINK("http://catalog.hathitrust.org/Record/000307857","HathiTrust Record")</f>
        <v/>
      </c>
      <c r="AU334">
        <f>HYPERLINK("https://creighton-primo.hosted.exlibrisgroup.com/primo-explore/search?tab=default_tab&amp;search_scope=EVERYTHING&amp;vid=01CRU&amp;lang=en_US&amp;offset=0&amp;query=any,contains,991005147019702656","Catalog Record")</f>
        <v/>
      </c>
      <c r="AV334">
        <f>HYPERLINK("http://www.worldcat.org/oclc/7672032","WorldCat Record")</f>
        <v/>
      </c>
      <c r="AW334" t="inlineStr">
        <is>
          <t>12747:eng</t>
        </is>
      </c>
      <c r="AX334" t="inlineStr">
        <is>
          <t>7672032</t>
        </is>
      </c>
      <c r="AY334" t="inlineStr">
        <is>
          <t>991005147019702656</t>
        </is>
      </c>
      <c r="AZ334" t="inlineStr">
        <is>
          <t>991005147019702656</t>
        </is>
      </c>
      <c r="BA334" t="inlineStr">
        <is>
          <t>2272517990002656</t>
        </is>
      </c>
      <c r="BB334" t="inlineStr">
        <is>
          <t>BOOK</t>
        </is>
      </c>
      <c r="BD334" t="inlineStr">
        <is>
          <t>9780824500955</t>
        </is>
      </c>
      <c r="BE334" t="inlineStr">
        <is>
          <t>32285000320290</t>
        </is>
      </c>
      <c r="BF334" t="inlineStr">
        <is>
          <t>893795682</t>
        </is>
      </c>
    </row>
    <row r="335">
      <c r="A335" t="inlineStr">
        <is>
          <t>No</t>
        </is>
      </c>
      <c r="B335" t="inlineStr">
        <is>
          <t>CURAL</t>
        </is>
      </c>
      <c r="C335" t="inlineStr">
        <is>
          <t>SHELVES</t>
        </is>
      </c>
      <c r="D335" t="inlineStr">
        <is>
          <t>BL51 .N47 1960</t>
        </is>
      </c>
      <c r="E335" t="inlineStr">
        <is>
          <t>0                      BL 0051000N  47          1960</t>
        </is>
      </c>
      <c r="F335" t="inlineStr">
        <is>
          <t>Religious experience and truth; a symposium, edited by Sidney Hook.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New York University Institute of Philosophy (4th : 1960)</t>
        </is>
      </c>
      <c r="N335" t="inlineStr">
        <is>
          <t>[New York] New York University Press, 1961.</t>
        </is>
      </c>
      <c r="O335" t="inlineStr">
        <is>
          <t>1961</t>
        </is>
      </c>
      <c r="Q335" t="inlineStr">
        <is>
          <t>eng</t>
        </is>
      </c>
      <c r="R335" t="inlineStr">
        <is>
          <t>nyu</t>
        </is>
      </c>
      <c r="T335" t="inlineStr">
        <is>
          <t xml:space="preserve">BL </t>
        </is>
      </c>
      <c r="U335" t="n">
        <v>4</v>
      </c>
      <c r="V335" t="n">
        <v>4</v>
      </c>
      <c r="W335" t="inlineStr">
        <is>
          <t>1993-10-18</t>
        </is>
      </c>
      <c r="X335" t="inlineStr">
        <is>
          <t>1993-10-18</t>
        </is>
      </c>
      <c r="Y335" t="inlineStr">
        <is>
          <t>1990-09-25</t>
        </is>
      </c>
      <c r="Z335" t="inlineStr">
        <is>
          <t>1990-09-25</t>
        </is>
      </c>
      <c r="AA335" t="n">
        <v>933</v>
      </c>
      <c r="AB335" t="n">
        <v>833</v>
      </c>
      <c r="AC335" t="n">
        <v>868</v>
      </c>
      <c r="AD335" t="n">
        <v>6</v>
      </c>
      <c r="AE335" t="n">
        <v>6</v>
      </c>
      <c r="AF335" t="n">
        <v>34</v>
      </c>
      <c r="AG335" t="n">
        <v>37</v>
      </c>
      <c r="AH335" t="n">
        <v>13</v>
      </c>
      <c r="AI335" t="n">
        <v>14</v>
      </c>
      <c r="AJ335" t="n">
        <v>8</v>
      </c>
      <c r="AK335" t="n">
        <v>9</v>
      </c>
      <c r="AL335" t="n">
        <v>19</v>
      </c>
      <c r="AM335" t="n">
        <v>22</v>
      </c>
      <c r="AN335" t="n">
        <v>4</v>
      </c>
      <c r="AO335" t="n">
        <v>4</v>
      </c>
      <c r="AP335" t="n">
        <v>1</v>
      </c>
      <c r="AQ335" t="n">
        <v>1</v>
      </c>
      <c r="AR335" t="inlineStr">
        <is>
          <t>No</t>
        </is>
      </c>
      <c r="AS335" t="inlineStr">
        <is>
          <t>No</t>
        </is>
      </c>
      <c r="AT335">
        <f>HYPERLINK("http://catalog.hathitrust.org/Record/001391304","HathiTrust Record")</f>
        <v/>
      </c>
      <c r="AU335">
        <f>HYPERLINK("https://creighton-primo.hosted.exlibrisgroup.com/primo-explore/search?tab=default_tab&amp;search_scope=EVERYTHING&amp;vid=01CRU&amp;lang=en_US&amp;offset=0&amp;query=any,contains,991001047489702656","Catalog Record")</f>
        <v/>
      </c>
      <c r="AV335">
        <f>HYPERLINK("http://www.worldcat.org/oclc/176488","WorldCat Record")</f>
        <v/>
      </c>
      <c r="AW335" t="inlineStr">
        <is>
          <t>891746843:eng</t>
        </is>
      </c>
      <c r="AX335" t="inlineStr">
        <is>
          <t>176488</t>
        </is>
      </c>
      <c r="AY335" t="inlineStr">
        <is>
          <t>991001047489702656</t>
        </is>
      </c>
      <c r="AZ335" t="inlineStr">
        <is>
          <t>991001047489702656</t>
        </is>
      </c>
      <c r="BA335" t="inlineStr">
        <is>
          <t>2267895980002656</t>
        </is>
      </c>
      <c r="BB335" t="inlineStr">
        <is>
          <t>BOOK</t>
        </is>
      </c>
      <c r="BE335" t="inlineStr">
        <is>
          <t>32285000320316</t>
        </is>
      </c>
      <c r="BF335" t="inlineStr">
        <is>
          <t>893690277</t>
        </is>
      </c>
    </row>
    <row r="336">
      <c r="A336" t="inlineStr">
        <is>
          <t>No</t>
        </is>
      </c>
      <c r="B336" t="inlineStr">
        <is>
          <t>CURAL</t>
        </is>
      </c>
      <c r="C336" t="inlineStr">
        <is>
          <t>SHELVES</t>
        </is>
      </c>
      <c r="D336" t="inlineStr">
        <is>
          <t>BL51 .N88 1972</t>
        </is>
      </c>
      <c r="E336" t="inlineStr">
        <is>
          <t>0                      BL 0051000N  88          1972</t>
        </is>
      </c>
      <c r="F336" t="inlineStr">
        <is>
          <t>Meaning and method; prolegomena to a scientific philosophy of religion and a scientific theology. Authorized translation by Philip S. Watson.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M336" t="inlineStr">
        <is>
          <t>Nygren, Anders, 1890-1978.</t>
        </is>
      </c>
      <c r="N336" t="inlineStr">
        <is>
          <t>Philadelphia, Fortress Press [1972]</t>
        </is>
      </c>
      <c r="O336" t="inlineStr">
        <is>
          <t>1972</t>
        </is>
      </c>
      <c r="P336" t="inlineStr">
        <is>
          <t>[1st American ed.]</t>
        </is>
      </c>
      <c r="Q336" t="inlineStr">
        <is>
          <t>eng</t>
        </is>
      </c>
      <c r="R336" t="inlineStr">
        <is>
          <t>pau</t>
        </is>
      </c>
      <c r="T336" t="inlineStr">
        <is>
          <t xml:space="preserve">BL </t>
        </is>
      </c>
      <c r="U336" t="n">
        <v>2</v>
      </c>
      <c r="V336" t="n">
        <v>2</v>
      </c>
      <c r="W336" t="inlineStr">
        <is>
          <t>1995-09-15</t>
        </is>
      </c>
      <c r="X336" t="inlineStr">
        <is>
          <t>1995-09-15</t>
        </is>
      </c>
      <c r="Y336" t="inlineStr">
        <is>
          <t>1990-09-25</t>
        </is>
      </c>
      <c r="Z336" t="inlineStr">
        <is>
          <t>1990-09-25</t>
        </is>
      </c>
      <c r="AA336" t="n">
        <v>440</v>
      </c>
      <c r="AB336" t="n">
        <v>403</v>
      </c>
      <c r="AC336" t="n">
        <v>433</v>
      </c>
      <c r="AD336" t="n">
        <v>3</v>
      </c>
      <c r="AE336" t="n">
        <v>3</v>
      </c>
      <c r="AF336" t="n">
        <v>26</v>
      </c>
      <c r="AG336" t="n">
        <v>28</v>
      </c>
      <c r="AH336" t="n">
        <v>10</v>
      </c>
      <c r="AI336" t="n">
        <v>10</v>
      </c>
      <c r="AJ336" t="n">
        <v>5</v>
      </c>
      <c r="AK336" t="n">
        <v>6</v>
      </c>
      <c r="AL336" t="n">
        <v>16</v>
      </c>
      <c r="AM336" t="n">
        <v>18</v>
      </c>
      <c r="AN336" t="n">
        <v>2</v>
      </c>
      <c r="AO336" t="n">
        <v>2</v>
      </c>
      <c r="AP336" t="n">
        <v>0</v>
      </c>
      <c r="AQ336" t="n">
        <v>0</v>
      </c>
      <c r="AR336" t="inlineStr">
        <is>
          <t>No</t>
        </is>
      </c>
      <c r="AS336" t="inlineStr">
        <is>
          <t>No</t>
        </is>
      </c>
      <c r="AU336">
        <f>HYPERLINK("https://creighton-primo.hosted.exlibrisgroup.com/primo-explore/search?tab=default_tab&amp;search_scope=EVERYTHING&amp;vid=01CRU&amp;lang=en_US&amp;offset=0&amp;query=any,contains,991002842329702656","Catalog Record")</f>
        <v/>
      </c>
      <c r="AV336">
        <f>HYPERLINK("http://www.worldcat.org/oclc/482778","WorldCat Record")</f>
        <v/>
      </c>
      <c r="AW336" t="inlineStr">
        <is>
          <t>48289469:eng</t>
        </is>
      </c>
      <c r="AX336" t="inlineStr">
        <is>
          <t>482778</t>
        </is>
      </c>
      <c r="AY336" t="inlineStr">
        <is>
          <t>991002842329702656</t>
        </is>
      </c>
      <c r="AZ336" t="inlineStr">
        <is>
          <t>991002842329702656</t>
        </is>
      </c>
      <c r="BA336" t="inlineStr">
        <is>
          <t>2258906060002656</t>
        </is>
      </c>
      <c r="BB336" t="inlineStr">
        <is>
          <t>BOOK</t>
        </is>
      </c>
      <c r="BD336" t="inlineStr">
        <is>
          <t>9780800600389</t>
        </is>
      </c>
      <c r="BE336" t="inlineStr">
        <is>
          <t>32285000320357</t>
        </is>
      </c>
      <c r="BF336" t="inlineStr">
        <is>
          <t>893591849</t>
        </is>
      </c>
    </row>
    <row r="337">
      <c r="A337" t="inlineStr">
        <is>
          <t>No</t>
        </is>
      </c>
      <c r="B337" t="inlineStr">
        <is>
          <t>CURAL</t>
        </is>
      </c>
      <c r="C337" t="inlineStr">
        <is>
          <t>SHELVES</t>
        </is>
      </c>
      <c r="D337" t="inlineStr">
        <is>
          <t>BL51 .P316 1962</t>
        </is>
      </c>
      <c r="E337" t="inlineStr">
        <is>
          <t>0                      BL 0051000P  316         1962</t>
        </is>
      </c>
      <c r="F337" t="inlineStr">
        <is>
          <t>The modern predicament : a study in the philosophy of religion / H. J. Paton.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Paton, H. J. (Herbert James), 1887-1969.</t>
        </is>
      </c>
      <c r="N337" t="inlineStr">
        <is>
          <t>New York : Collier Books, 1962, c1955.</t>
        </is>
      </c>
      <c r="O337" t="inlineStr">
        <is>
          <t>1962</t>
        </is>
      </c>
      <c r="Q337" t="inlineStr">
        <is>
          <t>eng</t>
        </is>
      </c>
      <c r="R337" t="inlineStr">
        <is>
          <t xml:space="preserve">xx </t>
        </is>
      </c>
      <c r="T337" t="inlineStr">
        <is>
          <t xml:space="preserve">BL </t>
        </is>
      </c>
      <c r="U337" t="n">
        <v>1</v>
      </c>
      <c r="V337" t="n">
        <v>1</v>
      </c>
      <c r="W337" t="inlineStr">
        <is>
          <t>2009-04-27</t>
        </is>
      </c>
      <c r="X337" t="inlineStr">
        <is>
          <t>2009-04-27</t>
        </is>
      </c>
      <c r="Y337" t="inlineStr">
        <is>
          <t>1990-09-26</t>
        </is>
      </c>
      <c r="Z337" t="inlineStr">
        <is>
          <t>1990-09-26</t>
        </is>
      </c>
      <c r="AA337" t="n">
        <v>90</v>
      </c>
      <c r="AB337" t="n">
        <v>83</v>
      </c>
      <c r="AC337" t="n">
        <v>992</v>
      </c>
      <c r="AD337" t="n">
        <v>2</v>
      </c>
      <c r="AE337" t="n">
        <v>13</v>
      </c>
      <c r="AF337" t="n">
        <v>4</v>
      </c>
      <c r="AG337" t="n">
        <v>46</v>
      </c>
      <c r="AH337" t="n">
        <v>1</v>
      </c>
      <c r="AI337" t="n">
        <v>15</v>
      </c>
      <c r="AJ337" t="n">
        <v>0</v>
      </c>
      <c r="AK337" t="n">
        <v>7</v>
      </c>
      <c r="AL337" t="n">
        <v>2</v>
      </c>
      <c r="AM337" t="n">
        <v>20</v>
      </c>
      <c r="AN337" t="n">
        <v>1</v>
      </c>
      <c r="AO337" t="n">
        <v>11</v>
      </c>
      <c r="AP337" t="n">
        <v>0</v>
      </c>
      <c r="AQ337" t="n">
        <v>1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HYPERLINK("https://creighton-primo.hosted.exlibrisgroup.com/primo-explore/search?tab=default_tab&amp;search_scope=EVERYTHING&amp;vid=01CRU&amp;lang=en_US&amp;offset=0&amp;query=any,contains,991004073699702656","Catalog Record")</f>
        <v/>
      </c>
      <c r="AV337">
        <f>HYPERLINK("http://www.worldcat.org/oclc/2312263","WorldCat Record")</f>
        <v/>
      </c>
      <c r="AW337" t="inlineStr">
        <is>
          <t>5571213356:eng</t>
        </is>
      </c>
      <c r="AX337" t="inlineStr">
        <is>
          <t>2312263</t>
        </is>
      </c>
      <c r="AY337" t="inlineStr">
        <is>
          <t>991004073699702656</t>
        </is>
      </c>
      <c r="AZ337" t="inlineStr">
        <is>
          <t>991004073699702656</t>
        </is>
      </c>
      <c r="BA337" t="inlineStr">
        <is>
          <t>2260320090002656</t>
        </is>
      </c>
      <c r="BB337" t="inlineStr">
        <is>
          <t>BOOK</t>
        </is>
      </c>
      <c r="BE337" t="inlineStr">
        <is>
          <t>32285000321173</t>
        </is>
      </c>
      <c r="BF337" t="inlineStr">
        <is>
          <t>893794441</t>
        </is>
      </c>
    </row>
    <row r="338">
      <c r="A338" t="inlineStr">
        <is>
          <t>No</t>
        </is>
      </c>
      <c r="B338" t="inlineStr">
        <is>
          <t>CURAL</t>
        </is>
      </c>
      <c r="C338" t="inlineStr">
        <is>
          <t>SHELVES</t>
        </is>
      </c>
      <c r="D338" t="inlineStr">
        <is>
          <t>BL51 .P73</t>
        </is>
      </c>
      <c r="E338" t="inlineStr">
        <is>
          <t>0                      BL 0051000P  73</t>
        </is>
      </c>
      <c r="F338" t="inlineStr">
        <is>
          <t>Essays in the philosophy of religion : based on the Sarum lectures, 1971 / H. H. Price.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M338" t="inlineStr">
        <is>
          <t>Price, H. H. (Henry Habberley), 1899-1984.</t>
        </is>
      </c>
      <c r="N338" t="inlineStr">
        <is>
          <t>Oxford : Clarendon Press, 1972.</t>
        </is>
      </c>
      <c r="O338" t="inlineStr">
        <is>
          <t>1972</t>
        </is>
      </c>
      <c r="Q338" t="inlineStr">
        <is>
          <t>eng</t>
        </is>
      </c>
      <c r="R338" t="inlineStr">
        <is>
          <t>enk</t>
        </is>
      </c>
      <c r="S338" t="inlineStr">
        <is>
          <t>The Sarum lectures, 1971</t>
        </is>
      </c>
      <c r="T338" t="inlineStr">
        <is>
          <t xml:space="preserve">BL </t>
        </is>
      </c>
      <c r="U338" t="n">
        <v>1</v>
      </c>
      <c r="V338" t="n">
        <v>1</v>
      </c>
      <c r="W338" t="inlineStr">
        <is>
          <t>2005-04-28</t>
        </is>
      </c>
      <c r="X338" t="inlineStr">
        <is>
          <t>2005-04-28</t>
        </is>
      </c>
      <c r="Y338" t="inlineStr">
        <is>
          <t>1990-03-13</t>
        </is>
      </c>
      <c r="Z338" t="inlineStr">
        <is>
          <t>1990-03-13</t>
        </is>
      </c>
      <c r="AA338" t="n">
        <v>487</v>
      </c>
      <c r="AB338" t="n">
        <v>345</v>
      </c>
      <c r="AC338" t="n">
        <v>368</v>
      </c>
      <c r="AD338" t="n">
        <v>4</v>
      </c>
      <c r="AE338" t="n">
        <v>4</v>
      </c>
      <c r="AF338" t="n">
        <v>18</v>
      </c>
      <c r="AG338" t="n">
        <v>18</v>
      </c>
      <c r="AH338" t="n">
        <v>4</v>
      </c>
      <c r="AI338" t="n">
        <v>4</v>
      </c>
      <c r="AJ338" t="n">
        <v>4</v>
      </c>
      <c r="AK338" t="n">
        <v>4</v>
      </c>
      <c r="AL338" t="n">
        <v>13</v>
      </c>
      <c r="AM338" t="n">
        <v>13</v>
      </c>
      <c r="AN338" t="n">
        <v>2</v>
      </c>
      <c r="AO338" t="n">
        <v>2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HYPERLINK("https://creighton-primo.hosted.exlibrisgroup.com/primo-explore/search?tab=default_tab&amp;search_scope=EVERYTHING&amp;vid=01CRU&amp;lang=en_US&amp;offset=0&amp;query=any,contains,991002984209702656","Catalog Record")</f>
        <v/>
      </c>
      <c r="AV338">
        <f>HYPERLINK("http://www.worldcat.org/oclc/556554","WorldCat Record")</f>
        <v/>
      </c>
      <c r="AW338" t="inlineStr">
        <is>
          <t>341075147:eng</t>
        </is>
      </c>
      <c r="AX338" t="inlineStr">
        <is>
          <t>556554</t>
        </is>
      </c>
      <c r="AY338" t="inlineStr">
        <is>
          <t>991002984209702656</t>
        </is>
      </c>
      <c r="AZ338" t="inlineStr">
        <is>
          <t>991002984209702656</t>
        </is>
      </c>
      <c r="BA338" t="inlineStr">
        <is>
          <t>2259820990002656</t>
        </is>
      </c>
      <c r="BB338" t="inlineStr">
        <is>
          <t>BOOK</t>
        </is>
      </c>
      <c r="BD338" t="inlineStr">
        <is>
          <t>9780198243762</t>
        </is>
      </c>
      <c r="BE338" t="inlineStr">
        <is>
          <t>32285000079532</t>
        </is>
      </c>
      <c r="BF338" t="inlineStr">
        <is>
          <t>893257942</t>
        </is>
      </c>
    </row>
    <row r="339">
      <c r="A339" t="inlineStr">
        <is>
          <t>No</t>
        </is>
      </c>
      <c r="B339" t="inlineStr">
        <is>
          <t>CURAL</t>
        </is>
      </c>
      <c r="C339" t="inlineStr">
        <is>
          <t>SHELVES</t>
        </is>
      </c>
      <c r="D339" t="inlineStr">
        <is>
          <t>BL51 .R2413</t>
        </is>
      </c>
      <c r="E339" t="inlineStr">
        <is>
          <t>0                      BL 0051000R  2413</t>
        </is>
      </c>
      <c r="F339" t="inlineStr">
        <is>
          <t>Hearers of the word / Translated by Michael Richards.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Rahner, Karl, 1904-1984.</t>
        </is>
      </c>
      <c r="N339" t="inlineStr">
        <is>
          <t>[New York] : Herder and Herder, [1969]</t>
        </is>
      </c>
      <c r="O339" t="inlineStr">
        <is>
          <t>1969</t>
        </is>
      </c>
      <c r="Q339" t="inlineStr">
        <is>
          <t>eng</t>
        </is>
      </c>
      <c r="R339" t="inlineStr">
        <is>
          <t>nyu</t>
        </is>
      </c>
      <c r="T339" t="inlineStr">
        <is>
          <t xml:space="preserve">BL </t>
        </is>
      </c>
      <c r="U339" t="n">
        <v>6</v>
      </c>
      <c r="V339" t="n">
        <v>6</v>
      </c>
      <c r="W339" t="inlineStr">
        <is>
          <t>1999-11-28</t>
        </is>
      </c>
      <c r="X339" t="inlineStr">
        <is>
          <t>1999-11-28</t>
        </is>
      </c>
      <c r="Y339" t="inlineStr">
        <is>
          <t>1990-09-26</t>
        </is>
      </c>
      <c r="Z339" t="inlineStr">
        <is>
          <t>1990-09-26</t>
        </is>
      </c>
      <c r="AA339" t="n">
        <v>462</v>
      </c>
      <c r="AB339" t="n">
        <v>425</v>
      </c>
      <c r="AC339" t="n">
        <v>536</v>
      </c>
      <c r="AD339" t="n">
        <v>5</v>
      </c>
      <c r="AE339" t="n">
        <v>5</v>
      </c>
      <c r="AF339" t="n">
        <v>39</v>
      </c>
      <c r="AG339" t="n">
        <v>42</v>
      </c>
      <c r="AH339" t="n">
        <v>15</v>
      </c>
      <c r="AI339" t="n">
        <v>18</v>
      </c>
      <c r="AJ339" t="n">
        <v>9</v>
      </c>
      <c r="AK339" t="n">
        <v>9</v>
      </c>
      <c r="AL339" t="n">
        <v>24</v>
      </c>
      <c r="AM339" t="n">
        <v>24</v>
      </c>
      <c r="AN339" t="n">
        <v>2</v>
      </c>
      <c r="AO339" t="n">
        <v>2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HYPERLINK("http://catalog.hathitrust.org/Record/001391321","HathiTrust Record")</f>
        <v/>
      </c>
      <c r="AU339">
        <f>HYPERLINK("https://creighton-primo.hosted.exlibrisgroup.com/primo-explore/search?tab=default_tab&amp;search_scope=EVERYTHING&amp;vid=01CRU&amp;lang=en_US&amp;offset=0&amp;query=any,contains,991005437149702656","Catalog Record")</f>
        <v/>
      </c>
      <c r="AV339">
        <f>HYPERLINK("http://www.worldcat.org/oclc/5037","WorldCat Record")</f>
        <v/>
      </c>
      <c r="AW339" t="inlineStr">
        <is>
          <t>1150988729:eng</t>
        </is>
      </c>
      <c r="AX339" t="inlineStr">
        <is>
          <t>5037</t>
        </is>
      </c>
      <c r="AY339" t="inlineStr">
        <is>
          <t>991005437149702656</t>
        </is>
      </c>
      <c r="AZ339" t="inlineStr">
        <is>
          <t>991005437149702656</t>
        </is>
      </c>
      <c r="BA339" t="inlineStr">
        <is>
          <t>2264491650002656</t>
        </is>
      </c>
      <c r="BB339" t="inlineStr">
        <is>
          <t>BOOK</t>
        </is>
      </c>
      <c r="BE339" t="inlineStr">
        <is>
          <t>32285000321256</t>
        </is>
      </c>
      <c r="BF339" t="inlineStr">
        <is>
          <t>893620010</t>
        </is>
      </c>
    </row>
    <row r="340">
      <c r="A340" t="inlineStr">
        <is>
          <t>No</t>
        </is>
      </c>
      <c r="B340" t="inlineStr">
        <is>
          <t>CURAL</t>
        </is>
      </c>
      <c r="C340" t="inlineStr">
        <is>
          <t>SHELVES</t>
        </is>
      </c>
      <c r="D340" t="inlineStr">
        <is>
          <t>BL51 .R29</t>
        </is>
      </c>
      <c r="E340" t="inlineStr">
        <is>
          <t>0                      BL 0051000R  29</t>
        </is>
      </c>
      <c r="F340" t="inlineStr">
        <is>
          <t>Rationality and religious belief / C. F. Delaney, editor.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N340" t="inlineStr">
        <is>
          <t>Notre Dame, Ind. : University of Notre Dame Press, c1979.</t>
        </is>
      </c>
      <c r="O340" t="inlineStr">
        <is>
          <t>1979</t>
        </is>
      </c>
      <c r="Q340" t="inlineStr">
        <is>
          <t>eng</t>
        </is>
      </c>
      <c r="R340" t="inlineStr">
        <is>
          <t>inu</t>
        </is>
      </c>
      <c r="S340" t="inlineStr">
        <is>
          <t>Notre Dame studies in the philosophy of religion ; no. 1</t>
        </is>
      </c>
      <c r="T340" t="inlineStr">
        <is>
          <t xml:space="preserve">BL </t>
        </is>
      </c>
      <c r="U340" t="n">
        <v>1</v>
      </c>
      <c r="V340" t="n">
        <v>1</v>
      </c>
      <c r="W340" t="inlineStr">
        <is>
          <t>1995-12-01</t>
        </is>
      </c>
      <c r="X340" t="inlineStr">
        <is>
          <t>1995-12-01</t>
        </is>
      </c>
      <c r="Y340" t="inlineStr">
        <is>
          <t>1990-09-26</t>
        </is>
      </c>
      <c r="Z340" t="inlineStr">
        <is>
          <t>1990-09-26</t>
        </is>
      </c>
      <c r="AA340" t="n">
        <v>744</v>
      </c>
      <c r="AB340" t="n">
        <v>630</v>
      </c>
      <c r="AC340" t="n">
        <v>638</v>
      </c>
      <c r="AD340" t="n">
        <v>8</v>
      </c>
      <c r="AE340" t="n">
        <v>8</v>
      </c>
      <c r="AF340" t="n">
        <v>40</v>
      </c>
      <c r="AG340" t="n">
        <v>40</v>
      </c>
      <c r="AH340" t="n">
        <v>14</v>
      </c>
      <c r="AI340" t="n">
        <v>14</v>
      </c>
      <c r="AJ340" t="n">
        <v>8</v>
      </c>
      <c r="AK340" t="n">
        <v>8</v>
      </c>
      <c r="AL340" t="n">
        <v>23</v>
      </c>
      <c r="AM340" t="n">
        <v>23</v>
      </c>
      <c r="AN340" t="n">
        <v>6</v>
      </c>
      <c r="AO340" t="n">
        <v>6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HYPERLINK("http://catalog.hathitrust.org/Record/000041083","HathiTrust Record")</f>
        <v/>
      </c>
      <c r="AU340">
        <f>HYPERLINK("https://creighton-primo.hosted.exlibrisgroup.com/primo-explore/search?tab=default_tab&amp;search_scope=EVERYTHING&amp;vid=01CRU&amp;lang=en_US&amp;offset=0&amp;query=any,contains,991004749259702656","Catalog Record")</f>
        <v/>
      </c>
      <c r="AV340">
        <f>HYPERLINK("http://www.worldcat.org/oclc/4932802","WorldCat Record")</f>
        <v/>
      </c>
      <c r="AW340" t="inlineStr">
        <is>
          <t>54294319:eng</t>
        </is>
      </c>
      <c r="AX340" t="inlineStr">
        <is>
          <t>4932802</t>
        </is>
      </c>
      <c r="AY340" t="inlineStr">
        <is>
          <t>991004749259702656</t>
        </is>
      </c>
      <c r="AZ340" t="inlineStr">
        <is>
          <t>991004749259702656</t>
        </is>
      </c>
      <c r="BA340" t="inlineStr">
        <is>
          <t>2270673770002656</t>
        </is>
      </c>
      <c r="BB340" t="inlineStr">
        <is>
          <t>BOOK</t>
        </is>
      </c>
      <c r="BD340" t="inlineStr">
        <is>
          <t>9780268016029</t>
        </is>
      </c>
      <c r="BE340" t="inlineStr">
        <is>
          <t>32285000321264</t>
        </is>
      </c>
      <c r="BF340" t="inlineStr">
        <is>
          <t>893526457</t>
        </is>
      </c>
    </row>
    <row r="341">
      <c r="A341" t="inlineStr">
        <is>
          <t>No</t>
        </is>
      </c>
      <c r="B341" t="inlineStr">
        <is>
          <t>CURAL</t>
        </is>
      </c>
      <c r="C341" t="inlineStr">
        <is>
          <t>SHELVES</t>
        </is>
      </c>
      <c r="D341" t="inlineStr">
        <is>
          <t>BL51 .R598</t>
        </is>
      </c>
      <c r="E341" t="inlineStr">
        <is>
          <t>0                      BL 0051000R  598</t>
        </is>
      </c>
      <c r="F341" t="inlineStr">
        <is>
          <t>American religious philosophy [by] Robert J. Roth.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Roth, Robert J.</t>
        </is>
      </c>
      <c r="N341" t="inlineStr">
        <is>
          <t>New York, Harcourt, Brace &amp; World [1967]</t>
        </is>
      </c>
      <c r="O341" t="inlineStr">
        <is>
          <t>1967</t>
        </is>
      </c>
      <c r="Q341" t="inlineStr">
        <is>
          <t>eng</t>
        </is>
      </c>
      <c r="R341" t="inlineStr">
        <is>
          <t>nyu</t>
        </is>
      </c>
      <c r="T341" t="inlineStr">
        <is>
          <t xml:space="preserve">BL </t>
        </is>
      </c>
      <c r="U341" t="n">
        <v>1</v>
      </c>
      <c r="V341" t="n">
        <v>1</v>
      </c>
      <c r="W341" t="inlineStr">
        <is>
          <t>2001-12-01</t>
        </is>
      </c>
      <c r="X341" t="inlineStr">
        <is>
          <t>2001-12-01</t>
        </is>
      </c>
      <c r="Y341" t="inlineStr">
        <is>
          <t>1990-09-26</t>
        </is>
      </c>
      <c r="Z341" t="inlineStr">
        <is>
          <t>1990-09-26</t>
        </is>
      </c>
      <c r="AA341" t="n">
        <v>469</v>
      </c>
      <c r="AB341" t="n">
        <v>427</v>
      </c>
      <c r="AC341" t="n">
        <v>429</v>
      </c>
      <c r="AD341" t="n">
        <v>5</v>
      </c>
      <c r="AE341" t="n">
        <v>5</v>
      </c>
      <c r="AF341" t="n">
        <v>36</v>
      </c>
      <c r="AG341" t="n">
        <v>36</v>
      </c>
      <c r="AH341" t="n">
        <v>12</v>
      </c>
      <c r="AI341" t="n">
        <v>12</v>
      </c>
      <c r="AJ341" t="n">
        <v>7</v>
      </c>
      <c r="AK341" t="n">
        <v>7</v>
      </c>
      <c r="AL341" t="n">
        <v>23</v>
      </c>
      <c r="AM341" t="n">
        <v>23</v>
      </c>
      <c r="AN341" t="n">
        <v>3</v>
      </c>
      <c r="AO341" t="n">
        <v>3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HYPERLINK("http://catalog.hathitrust.org/Record/001391326","HathiTrust Record")</f>
        <v/>
      </c>
      <c r="AU341">
        <f>HYPERLINK("https://creighton-primo.hosted.exlibrisgroup.com/primo-explore/search?tab=default_tab&amp;search_scope=EVERYTHING&amp;vid=01CRU&amp;lang=en_US&amp;offset=0&amp;query=any,contains,991002326469702656","Catalog Record")</f>
        <v/>
      </c>
      <c r="AV341">
        <f>HYPERLINK("http://www.worldcat.org/oclc/321011","WorldCat Record")</f>
        <v/>
      </c>
      <c r="AW341" t="inlineStr">
        <is>
          <t>1400957:eng</t>
        </is>
      </c>
      <c r="AX341" t="inlineStr">
        <is>
          <t>321011</t>
        </is>
      </c>
      <c r="AY341" t="inlineStr">
        <is>
          <t>991002326469702656</t>
        </is>
      </c>
      <c r="AZ341" t="inlineStr">
        <is>
          <t>991002326469702656</t>
        </is>
      </c>
      <c r="BA341" t="inlineStr">
        <is>
          <t>2256188540002656</t>
        </is>
      </c>
      <c r="BB341" t="inlineStr">
        <is>
          <t>BOOK</t>
        </is>
      </c>
      <c r="BE341" t="inlineStr">
        <is>
          <t>32285000321322</t>
        </is>
      </c>
      <c r="BF341" t="inlineStr">
        <is>
          <t>893615987</t>
        </is>
      </c>
    </row>
    <row r="342">
      <c r="A342" t="inlineStr">
        <is>
          <t>No</t>
        </is>
      </c>
      <c r="B342" t="inlineStr">
        <is>
          <t>CURAL</t>
        </is>
      </c>
      <c r="C342" t="inlineStr">
        <is>
          <t>SHELVES</t>
        </is>
      </c>
      <c r="D342" t="inlineStr">
        <is>
          <t>BL51 .S4643 1975</t>
        </is>
      </c>
      <c r="E342" t="inlineStr">
        <is>
          <t>0                      BL 0051000S  4643        1975</t>
        </is>
      </c>
      <c r="F342" t="inlineStr">
        <is>
          <t>The transcendent unity of religions / Frithjof Schuon ; translated by Peter Townsend ; introd. by Huston Smith.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Schuon, Frithjof, 1907-1998.</t>
        </is>
      </c>
      <c r="N342" t="inlineStr">
        <is>
          <t>New York : Harper &amp; Row, 1975.</t>
        </is>
      </c>
      <c r="O342" t="inlineStr">
        <is>
          <t>1975</t>
        </is>
      </c>
      <c r="P342" t="inlineStr">
        <is>
          <t>Rev. ed.</t>
        </is>
      </c>
      <c r="Q342" t="inlineStr">
        <is>
          <t>eng</t>
        </is>
      </c>
      <c r="R342" t="inlineStr">
        <is>
          <t>nyu</t>
        </is>
      </c>
      <c r="S342" t="inlineStr">
        <is>
          <t>Harper torchbooks ; TB1818</t>
        </is>
      </c>
      <c r="T342" t="inlineStr">
        <is>
          <t xml:space="preserve">BL </t>
        </is>
      </c>
      <c r="U342" t="n">
        <v>2</v>
      </c>
      <c r="V342" t="n">
        <v>2</v>
      </c>
      <c r="W342" t="inlineStr">
        <is>
          <t>1992-02-13</t>
        </is>
      </c>
      <c r="X342" t="inlineStr">
        <is>
          <t>1992-02-13</t>
        </is>
      </c>
      <c r="Y342" t="inlineStr">
        <is>
          <t>1990-09-26</t>
        </is>
      </c>
      <c r="Z342" t="inlineStr">
        <is>
          <t>1990-09-26</t>
        </is>
      </c>
      <c r="AA342" t="n">
        <v>267</v>
      </c>
      <c r="AB342" t="n">
        <v>231</v>
      </c>
      <c r="AC342" t="n">
        <v>491</v>
      </c>
      <c r="AD342" t="n">
        <v>3</v>
      </c>
      <c r="AE342" t="n">
        <v>3</v>
      </c>
      <c r="AF342" t="n">
        <v>18</v>
      </c>
      <c r="AG342" t="n">
        <v>27</v>
      </c>
      <c r="AH342" t="n">
        <v>2</v>
      </c>
      <c r="AI342" t="n">
        <v>5</v>
      </c>
      <c r="AJ342" t="n">
        <v>5</v>
      </c>
      <c r="AK342" t="n">
        <v>10</v>
      </c>
      <c r="AL342" t="n">
        <v>13</v>
      </c>
      <c r="AM342" t="n">
        <v>17</v>
      </c>
      <c r="AN342" t="n">
        <v>2</v>
      </c>
      <c r="AO342" t="n">
        <v>2</v>
      </c>
      <c r="AP342" t="n">
        <v>0</v>
      </c>
      <c r="AQ342" t="n">
        <v>0</v>
      </c>
      <c r="AR342" t="inlineStr">
        <is>
          <t>No</t>
        </is>
      </c>
      <c r="AS342" t="inlineStr">
        <is>
          <t>No</t>
        </is>
      </c>
      <c r="AU342">
        <f>HYPERLINK("https://creighton-primo.hosted.exlibrisgroup.com/primo-explore/search?tab=default_tab&amp;search_scope=EVERYTHING&amp;vid=01CRU&amp;lang=en_US&amp;offset=0&amp;query=any,contains,991003673849702656","Catalog Record")</f>
        <v/>
      </c>
      <c r="AV342">
        <f>HYPERLINK("http://www.worldcat.org/oclc/1292845","WorldCat Record")</f>
        <v/>
      </c>
      <c r="AW342" t="inlineStr">
        <is>
          <t>50847465:eng</t>
        </is>
      </c>
      <c r="AX342" t="inlineStr">
        <is>
          <t>1292845</t>
        </is>
      </c>
      <c r="AY342" t="inlineStr">
        <is>
          <t>991003673849702656</t>
        </is>
      </c>
      <c r="AZ342" t="inlineStr">
        <is>
          <t>991003673849702656</t>
        </is>
      </c>
      <c r="BA342" t="inlineStr">
        <is>
          <t>2255783740002656</t>
        </is>
      </c>
      <c r="BB342" t="inlineStr">
        <is>
          <t>BOOK</t>
        </is>
      </c>
      <c r="BD342" t="inlineStr">
        <is>
          <t>9780061394157</t>
        </is>
      </c>
      <c r="BE342" t="inlineStr">
        <is>
          <t>32285000321363</t>
        </is>
      </c>
      <c r="BF342" t="inlineStr">
        <is>
          <t>893512231</t>
        </is>
      </c>
    </row>
    <row r="343">
      <c r="A343" t="inlineStr">
        <is>
          <t>No</t>
        </is>
      </c>
      <c r="B343" t="inlineStr">
        <is>
          <t>CURAL</t>
        </is>
      </c>
      <c r="C343" t="inlineStr">
        <is>
          <t>SHELVES</t>
        </is>
      </c>
      <c r="D343" t="inlineStr">
        <is>
          <t>BL51 .S5</t>
        </is>
      </c>
      <c r="E343" t="inlineStr">
        <is>
          <t>0                      BL 0051000S  5</t>
        </is>
      </c>
      <c r="F343" t="inlineStr">
        <is>
          <t>God and intelligence in modern philosophy; a critical study in the light of the philosophy of Saint Thomas, by Fulton J. Sheen ... With an introduction by G. K. Chesterton.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M343" t="inlineStr">
        <is>
          <t>Sheen, Fulton J. (Fulton John), 1895-1979.</t>
        </is>
      </c>
      <c r="N343" t="inlineStr">
        <is>
          <t>London, New York [etc.] Longmans, Green and Co., 1925.</t>
        </is>
      </c>
      <c r="O343" t="inlineStr">
        <is>
          <t>1925</t>
        </is>
      </c>
      <c r="Q343" t="inlineStr">
        <is>
          <t>eng</t>
        </is>
      </c>
      <c r="R343" t="inlineStr">
        <is>
          <t>enk</t>
        </is>
      </c>
      <c r="T343" t="inlineStr">
        <is>
          <t xml:space="preserve">BL </t>
        </is>
      </c>
      <c r="U343" t="n">
        <v>1</v>
      </c>
      <c r="V343" t="n">
        <v>1</v>
      </c>
      <c r="W343" t="inlineStr">
        <is>
          <t>2007-07-18</t>
        </is>
      </c>
      <c r="X343" t="inlineStr">
        <is>
          <t>2007-07-18</t>
        </is>
      </c>
      <c r="Y343" t="inlineStr">
        <is>
          <t>1990-09-26</t>
        </is>
      </c>
      <c r="Z343" t="inlineStr">
        <is>
          <t>1990-09-26</t>
        </is>
      </c>
      <c r="AA343" t="n">
        <v>302</v>
      </c>
      <c r="AB343" t="n">
        <v>266</v>
      </c>
      <c r="AC343" t="n">
        <v>389</v>
      </c>
      <c r="AD343" t="n">
        <v>2</v>
      </c>
      <c r="AE343" t="n">
        <v>4</v>
      </c>
      <c r="AF343" t="n">
        <v>33</v>
      </c>
      <c r="AG343" t="n">
        <v>37</v>
      </c>
      <c r="AH343" t="n">
        <v>12</v>
      </c>
      <c r="AI343" t="n">
        <v>14</v>
      </c>
      <c r="AJ343" t="n">
        <v>11</v>
      </c>
      <c r="AK343" t="n">
        <v>11</v>
      </c>
      <c r="AL343" t="n">
        <v>20</v>
      </c>
      <c r="AM343" t="n">
        <v>23</v>
      </c>
      <c r="AN343" t="n">
        <v>1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Yes</t>
        </is>
      </c>
      <c r="AT343">
        <f>HYPERLINK("http://catalog.hathitrust.org/Record/001391339","HathiTrust Record")</f>
        <v/>
      </c>
      <c r="AU343">
        <f>HYPERLINK("https://creighton-primo.hosted.exlibrisgroup.com/primo-explore/search?tab=default_tab&amp;search_scope=EVERYTHING&amp;vid=01CRU&amp;lang=en_US&amp;offset=0&amp;query=any,contains,991002605089702656","Catalog Record")</f>
        <v/>
      </c>
      <c r="AV343">
        <f>HYPERLINK("http://www.worldcat.org/oclc/377351","WorldCat Record")</f>
        <v/>
      </c>
      <c r="AW343" t="inlineStr">
        <is>
          <t>376731268:eng</t>
        </is>
      </c>
      <c r="AX343" t="inlineStr">
        <is>
          <t>377351</t>
        </is>
      </c>
      <c r="AY343" t="inlineStr">
        <is>
          <t>991002605089702656</t>
        </is>
      </c>
      <c r="AZ343" t="inlineStr">
        <is>
          <t>991002605089702656</t>
        </is>
      </c>
      <c r="BA343" t="inlineStr">
        <is>
          <t>2263040650002656</t>
        </is>
      </c>
      <c r="BB343" t="inlineStr">
        <is>
          <t>BOOK</t>
        </is>
      </c>
      <c r="BE343" t="inlineStr">
        <is>
          <t>32285000321371</t>
        </is>
      </c>
      <c r="BF343" t="inlineStr">
        <is>
          <t>893691784</t>
        </is>
      </c>
    </row>
    <row r="344">
      <c r="A344" t="inlineStr">
        <is>
          <t>No</t>
        </is>
      </c>
      <c r="B344" t="inlineStr">
        <is>
          <t>CURAL</t>
        </is>
      </c>
      <c r="C344" t="inlineStr">
        <is>
          <t>SHELVES</t>
        </is>
      </c>
      <c r="D344" t="inlineStr">
        <is>
          <t>BL51 .S53</t>
        </is>
      </c>
      <c r="E344" t="inlineStr">
        <is>
          <t>0                      BL 0051000S  53</t>
        </is>
      </c>
      <c r="F344" t="inlineStr">
        <is>
          <t>From critical theory of society to theology of communicative praxis / Rudolf J. Siebert.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Siebert, Rudolf J., 1927-</t>
        </is>
      </c>
      <c r="N344" t="inlineStr">
        <is>
          <t>Washington, D.C. : University Press of America, 1979.</t>
        </is>
      </c>
      <c r="O344" t="inlineStr">
        <is>
          <t>1979</t>
        </is>
      </c>
      <c r="Q344" t="inlineStr">
        <is>
          <t>eng</t>
        </is>
      </c>
      <c r="R344" t="inlineStr">
        <is>
          <t>dcu</t>
        </is>
      </c>
      <c r="T344" t="inlineStr">
        <is>
          <t xml:space="preserve">BL </t>
        </is>
      </c>
      <c r="U344" t="n">
        <v>1</v>
      </c>
      <c r="V344" t="n">
        <v>1</v>
      </c>
      <c r="W344" t="inlineStr">
        <is>
          <t>2003-11-02</t>
        </is>
      </c>
      <c r="X344" t="inlineStr">
        <is>
          <t>2003-11-02</t>
        </is>
      </c>
      <c r="Y344" t="inlineStr">
        <is>
          <t>1990-09-26</t>
        </is>
      </c>
      <c r="Z344" t="inlineStr">
        <is>
          <t>1990-09-26</t>
        </is>
      </c>
      <c r="AA344" t="n">
        <v>123</v>
      </c>
      <c r="AB344" t="n">
        <v>104</v>
      </c>
      <c r="AC344" t="n">
        <v>111</v>
      </c>
      <c r="AD344" t="n">
        <v>1</v>
      </c>
      <c r="AE344" t="n">
        <v>1</v>
      </c>
      <c r="AF344" t="n">
        <v>9</v>
      </c>
      <c r="AG344" t="n">
        <v>10</v>
      </c>
      <c r="AH344" t="n">
        <v>0</v>
      </c>
      <c r="AI344" t="n">
        <v>0</v>
      </c>
      <c r="AJ344" t="n">
        <v>3</v>
      </c>
      <c r="AK344" t="n">
        <v>3</v>
      </c>
      <c r="AL344" t="n">
        <v>8</v>
      </c>
      <c r="AM344" t="n">
        <v>9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No</t>
        </is>
      </c>
      <c r="AU344">
        <f>HYPERLINK("https://creighton-primo.hosted.exlibrisgroup.com/primo-explore/search?tab=default_tab&amp;search_scope=EVERYTHING&amp;vid=01CRU&amp;lang=en_US&amp;offset=0&amp;query=any,contains,991004889449702656","Catalog Record")</f>
        <v/>
      </c>
      <c r="AV344">
        <f>HYPERLINK("http://www.worldcat.org/oclc/5857219","WorldCat Record")</f>
        <v/>
      </c>
      <c r="AW344" t="inlineStr">
        <is>
          <t>21086931:eng</t>
        </is>
      </c>
      <c r="AX344" t="inlineStr">
        <is>
          <t>5857219</t>
        </is>
      </c>
      <c r="AY344" t="inlineStr">
        <is>
          <t>991004889449702656</t>
        </is>
      </c>
      <c r="AZ344" t="inlineStr">
        <is>
          <t>991004889449702656</t>
        </is>
      </c>
      <c r="BA344" t="inlineStr">
        <is>
          <t>2261743210002656</t>
        </is>
      </c>
      <c r="BB344" t="inlineStr">
        <is>
          <t>BOOK</t>
        </is>
      </c>
      <c r="BD344" t="inlineStr">
        <is>
          <t>9780819107831</t>
        </is>
      </c>
      <c r="BE344" t="inlineStr">
        <is>
          <t>32285000321397</t>
        </is>
      </c>
      <c r="BF344" t="inlineStr">
        <is>
          <t>893424302</t>
        </is>
      </c>
    </row>
    <row r="345">
      <c r="A345" t="inlineStr">
        <is>
          <t>No</t>
        </is>
      </c>
      <c r="B345" t="inlineStr">
        <is>
          <t>CURAL</t>
        </is>
      </c>
      <c r="C345" t="inlineStr">
        <is>
          <t>SHELVES</t>
        </is>
      </c>
      <c r="D345" t="inlineStr">
        <is>
          <t>BL51 .S567 1986</t>
        </is>
      </c>
      <c r="E345" t="inlineStr">
        <is>
          <t>0                      BL 0051000S  567         1986</t>
        </is>
      </c>
      <c r="F345" t="inlineStr">
        <is>
          <t>Concept and empathy : essays in the study of religion / Ninian Smart ; edited by Donald Wiebe.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Smart, Ninian, 1927-2001.</t>
        </is>
      </c>
      <c r="N345" t="inlineStr">
        <is>
          <t>New York : New York University Press, 1986.</t>
        </is>
      </c>
      <c r="O345" t="inlineStr">
        <is>
          <t>1986</t>
        </is>
      </c>
      <c r="Q345" t="inlineStr">
        <is>
          <t>eng</t>
        </is>
      </c>
      <c r="R345" t="inlineStr">
        <is>
          <t>nyu</t>
        </is>
      </c>
      <c r="T345" t="inlineStr">
        <is>
          <t xml:space="preserve">BL </t>
        </is>
      </c>
      <c r="U345" t="n">
        <v>4</v>
      </c>
      <c r="V345" t="n">
        <v>4</v>
      </c>
      <c r="W345" t="inlineStr">
        <is>
          <t>2003-04-03</t>
        </is>
      </c>
      <c r="X345" t="inlineStr">
        <is>
          <t>2003-04-03</t>
        </is>
      </c>
      <c r="Y345" t="inlineStr">
        <is>
          <t>1990-09-26</t>
        </is>
      </c>
      <c r="Z345" t="inlineStr">
        <is>
          <t>1990-09-26</t>
        </is>
      </c>
      <c r="AA345" t="n">
        <v>362</v>
      </c>
      <c r="AB345" t="n">
        <v>331</v>
      </c>
      <c r="AC345" t="n">
        <v>384</v>
      </c>
      <c r="AD345" t="n">
        <v>3</v>
      </c>
      <c r="AE345" t="n">
        <v>3</v>
      </c>
      <c r="AF345" t="n">
        <v>21</v>
      </c>
      <c r="AG345" t="n">
        <v>22</v>
      </c>
      <c r="AH345" t="n">
        <v>9</v>
      </c>
      <c r="AI345" t="n">
        <v>9</v>
      </c>
      <c r="AJ345" t="n">
        <v>6</v>
      </c>
      <c r="AK345" t="n">
        <v>6</v>
      </c>
      <c r="AL345" t="n">
        <v>12</v>
      </c>
      <c r="AM345" t="n">
        <v>13</v>
      </c>
      <c r="AN345" t="n">
        <v>2</v>
      </c>
      <c r="AO345" t="n">
        <v>2</v>
      </c>
      <c r="AP345" t="n">
        <v>0</v>
      </c>
      <c r="AQ345" t="n">
        <v>0</v>
      </c>
      <c r="AR345" t="inlineStr">
        <is>
          <t>No</t>
        </is>
      </c>
      <c r="AS345" t="inlineStr">
        <is>
          <t>No</t>
        </is>
      </c>
      <c r="AU345">
        <f>HYPERLINK("https://creighton-primo.hosted.exlibrisgroup.com/primo-explore/search?tab=default_tab&amp;search_scope=EVERYTHING&amp;vid=01CRU&amp;lang=en_US&amp;offset=0&amp;query=any,contains,991000703519702656","Catalog Record")</f>
        <v/>
      </c>
      <c r="AV345">
        <f>HYPERLINK("http://www.worldcat.org/oclc/12553907","WorldCat Record")</f>
        <v/>
      </c>
      <c r="AW345" t="inlineStr">
        <is>
          <t>222548603:eng</t>
        </is>
      </c>
      <c r="AX345" t="inlineStr">
        <is>
          <t>12553907</t>
        </is>
      </c>
      <c r="AY345" t="inlineStr">
        <is>
          <t>991000703519702656</t>
        </is>
      </c>
      <c r="AZ345" t="inlineStr">
        <is>
          <t>991000703519702656</t>
        </is>
      </c>
      <c r="BA345" t="inlineStr">
        <is>
          <t>2257275370002656</t>
        </is>
      </c>
      <c r="BB345" t="inlineStr">
        <is>
          <t>BOOK</t>
        </is>
      </c>
      <c r="BD345" t="inlineStr">
        <is>
          <t>9780814778517</t>
        </is>
      </c>
      <c r="BE345" t="inlineStr">
        <is>
          <t>32285000321447</t>
        </is>
      </c>
      <c r="BF345" t="inlineStr">
        <is>
          <t>893339805</t>
        </is>
      </c>
    </row>
    <row r="346">
      <c r="A346" t="inlineStr">
        <is>
          <t>No</t>
        </is>
      </c>
      <c r="B346" t="inlineStr">
        <is>
          <t>CURAL</t>
        </is>
      </c>
      <c r="C346" t="inlineStr">
        <is>
          <t>SHELVES</t>
        </is>
      </c>
      <c r="D346" t="inlineStr">
        <is>
          <t>BL51 .S569 1970</t>
        </is>
      </c>
      <c r="E346" t="inlineStr">
        <is>
          <t>0                      BL 0051000S  569         1970</t>
        </is>
      </c>
      <c r="F346" t="inlineStr">
        <is>
          <t>Philosophers and religious truth.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Smart, Ninian, 1927-2001.</t>
        </is>
      </c>
      <c r="N346" t="inlineStr">
        <is>
          <t>New York] Macmillan [1970, c1969]</t>
        </is>
      </c>
      <c r="O346" t="inlineStr">
        <is>
          <t>1970</t>
        </is>
      </c>
      <c r="P346" t="inlineStr">
        <is>
          <t>[2d ed. 1st American ed.</t>
        </is>
      </c>
      <c r="Q346" t="inlineStr">
        <is>
          <t>eng</t>
        </is>
      </c>
      <c r="R346" t="inlineStr">
        <is>
          <t>nyu</t>
        </is>
      </c>
      <c r="T346" t="inlineStr">
        <is>
          <t xml:space="preserve">BL </t>
        </is>
      </c>
      <c r="U346" t="n">
        <v>4</v>
      </c>
      <c r="V346" t="n">
        <v>4</v>
      </c>
      <c r="W346" t="inlineStr">
        <is>
          <t>2005-04-11</t>
        </is>
      </c>
      <c r="X346" t="inlineStr">
        <is>
          <t>2005-04-11</t>
        </is>
      </c>
      <c r="Y346" t="inlineStr">
        <is>
          <t>1990-09-26</t>
        </is>
      </c>
      <c r="Z346" t="inlineStr">
        <is>
          <t>1990-09-26</t>
        </is>
      </c>
      <c r="AA346" t="n">
        <v>311</v>
      </c>
      <c r="AB346" t="n">
        <v>285</v>
      </c>
      <c r="AC346" t="n">
        <v>481</v>
      </c>
      <c r="AD346" t="n">
        <v>3</v>
      </c>
      <c r="AE346" t="n">
        <v>4</v>
      </c>
      <c r="AF346" t="n">
        <v>12</v>
      </c>
      <c r="AG346" t="n">
        <v>22</v>
      </c>
      <c r="AH346" t="n">
        <v>3</v>
      </c>
      <c r="AI346" t="n">
        <v>5</v>
      </c>
      <c r="AJ346" t="n">
        <v>1</v>
      </c>
      <c r="AK346" t="n">
        <v>4</v>
      </c>
      <c r="AL346" t="n">
        <v>8</v>
      </c>
      <c r="AM346" t="n">
        <v>14</v>
      </c>
      <c r="AN346" t="n">
        <v>1</v>
      </c>
      <c r="AO346" t="n">
        <v>2</v>
      </c>
      <c r="AP346" t="n">
        <v>0</v>
      </c>
      <c r="AQ346" t="n">
        <v>0</v>
      </c>
      <c r="AR346" t="inlineStr">
        <is>
          <t>No</t>
        </is>
      </c>
      <c r="AS346" t="inlineStr">
        <is>
          <t>No</t>
        </is>
      </c>
      <c r="AU346">
        <f>HYPERLINK("https://creighton-primo.hosted.exlibrisgroup.com/primo-explore/search?tab=default_tab&amp;search_scope=EVERYTHING&amp;vid=01CRU&amp;lang=en_US&amp;offset=0&amp;query=any,contains,991000497529702656","Catalog Record")</f>
        <v/>
      </c>
      <c r="AV346">
        <f>HYPERLINK("http://www.worldcat.org/oclc/80825","WorldCat Record")</f>
        <v/>
      </c>
      <c r="AW346" t="inlineStr">
        <is>
          <t>141497549:eng</t>
        </is>
      </c>
      <c r="AX346" t="inlineStr">
        <is>
          <t>80825</t>
        </is>
      </c>
      <c r="AY346" t="inlineStr">
        <is>
          <t>991000497529702656</t>
        </is>
      </c>
      <c r="AZ346" t="inlineStr">
        <is>
          <t>991000497529702656</t>
        </is>
      </c>
      <c r="BA346" t="inlineStr">
        <is>
          <t>2271677020002656</t>
        </is>
      </c>
      <c r="BB346" t="inlineStr">
        <is>
          <t>BOOK</t>
        </is>
      </c>
      <c r="BE346" t="inlineStr">
        <is>
          <t>32285000321454</t>
        </is>
      </c>
      <c r="BF346" t="inlineStr">
        <is>
          <t>893614224</t>
        </is>
      </c>
    </row>
    <row r="347">
      <c r="A347" t="inlineStr">
        <is>
          <t>No</t>
        </is>
      </c>
      <c r="B347" t="inlineStr">
        <is>
          <t>CURAL</t>
        </is>
      </c>
      <c r="C347" t="inlineStr">
        <is>
          <t>SHELVES</t>
        </is>
      </c>
      <c r="D347" t="inlineStr">
        <is>
          <t>BL51 .S572 1976</t>
        </is>
      </c>
      <c r="E347" t="inlineStr">
        <is>
          <t>0                      BL 0051000S  572         1976</t>
        </is>
      </c>
      <c r="F347" t="inlineStr">
        <is>
          <t>Forgotten truth : the primordial tradition / Huston Smith.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Smith, Huston.</t>
        </is>
      </c>
      <c r="N347" t="inlineStr">
        <is>
          <t>New York : Harper &amp; Row, c1976.</t>
        </is>
      </c>
      <c r="O347" t="inlineStr">
        <is>
          <t>1976</t>
        </is>
      </c>
      <c r="P347" t="inlineStr">
        <is>
          <t>1st ed.</t>
        </is>
      </c>
      <c r="Q347" t="inlineStr">
        <is>
          <t>eng</t>
        </is>
      </c>
      <c r="R347" t="inlineStr">
        <is>
          <t>nyu</t>
        </is>
      </c>
      <c r="T347" t="inlineStr">
        <is>
          <t xml:space="preserve">BL </t>
        </is>
      </c>
      <c r="U347" t="n">
        <v>3</v>
      </c>
      <c r="V347" t="n">
        <v>3</v>
      </c>
      <c r="W347" t="inlineStr">
        <is>
          <t>2001-09-13</t>
        </is>
      </c>
      <c r="X347" t="inlineStr">
        <is>
          <t>2001-09-13</t>
        </is>
      </c>
      <c r="Y347" t="inlineStr">
        <is>
          <t>1990-09-26</t>
        </is>
      </c>
      <c r="Z347" t="inlineStr">
        <is>
          <t>1990-09-26</t>
        </is>
      </c>
      <c r="AA347" t="n">
        <v>783</v>
      </c>
      <c r="AB347" t="n">
        <v>721</v>
      </c>
      <c r="AC347" t="n">
        <v>814</v>
      </c>
      <c r="AD347" t="n">
        <v>3</v>
      </c>
      <c r="AE347" t="n">
        <v>3</v>
      </c>
      <c r="AF347" t="n">
        <v>32</v>
      </c>
      <c r="AG347" t="n">
        <v>36</v>
      </c>
      <c r="AH347" t="n">
        <v>12</v>
      </c>
      <c r="AI347" t="n">
        <v>14</v>
      </c>
      <c r="AJ347" t="n">
        <v>8</v>
      </c>
      <c r="AK347" t="n">
        <v>9</v>
      </c>
      <c r="AL347" t="n">
        <v>20</v>
      </c>
      <c r="AM347" t="n">
        <v>21</v>
      </c>
      <c r="AN347" t="n">
        <v>2</v>
      </c>
      <c r="AO347" t="n">
        <v>2</v>
      </c>
      <c r="AP347" t="n">
        <v>0</v>
      </c>
      <c r="AQ347" t="n">
        <v>0</v>
      </c>
      <c r="AR347" t="inlineStr">
        <is>
          <t>No</t>
        </is>
      </c>
      <c r="AS347" t="inlineStr">
        <is>
          <t>Yes</t>
        </is>
      </c>
      <c r="AT347">
        <f>HYPERLINK("http://catalog.hathitrust.org/Record/000727849","HathiTrust Record")</f>
        <v/>
      </c>
      <c r="AU347">
        <f>HYPERLINK("https://creighton-primo.hosted.exlibrisgroup.com/primo-explore/search?tab=default_tab&amp;search_scope=EVERYTHING&amp;vid=01CRU&amp;lang=en_US&amp;offset=0&amp;query=any,contains,991004074889702656","Catalog Record")</f>
        <v/>
      </c>
      <c r="AV347">
        <f>HYPERLINK("http://www.worldcat.org/oclc/2316893","WorldCat Record")</f>
        <v/>
      </c>
      <c r="AW347" t="inlineStr">
        <is>
          <t>402511:eng</t>
        </is>
      </c>
      <c r="AX347" t="inlineStr">
        <is>
          <t>2316893</t>
        </is>
      </c>
      <c r="AY347" t="inlineStr">
        <is>
          <t>991004074889702656</t>
        </is>
      </c>
      <c r="AZ347" t="inlineStr">
        <is>
          <t>991004074889702656</t>
        </is>
      </c>
      <c r="BA347" t="inlineStr">
        <is>
          <t>2262337000002656</t>
        </is>
      </c>
      <c r="BB347" t="inlineStr">
        <is>
          <t>BOOK</t>
        </is>
      </c>
      <c r="BD347" t="inlineStr">
        <is>
          <t>9780060139025</t>
        </is>
      </c>
      <c r="BE347" t="inlineStr">
        <is>
          <t>32285000321488</t>
        </is>
      </c>
      <c r="BF347" t="inlineStr">
        <is>
          <t>893894535</t>
        </is>
      </c>
    </row>
    <row r="348">
      <c r="A348" t="inlineStr">
        <is>
          <t>No</t>
        </is>
      </c>
      <c r="B348" t="inlineStr">
        <is>
          <t>CURAL</t>
        </is>
      </c>
      <c r="C348" t="inlineStr">
        <is>
          <t>SHELVES</t>
        </is>
      </c>
      <c r="D348" t="inlineStr">
        <is>
          <t>BL51 .S572 1992</t>
        </is>
      </c>
      <c r="E348" t="inlineStr">
        <is>
          <t>0                      BL 0051000S  572         1992</t>
        </is>
      </c>
      <c r="F348" t="inlineStr">
        <is>
          <t>Forgotten truth : the common vision of the world's religions / Huston Smith.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Smith, Huston.</t>
        </is>
      </c>
      <c r="N348" t="inlineStr">
        <is>
          <t>[San Francisco] : HarperSanFrancisco, 1992.</t>
        </is>
      </c>
      <c r="O348" t="inlineStr">
        <is>
          <t>1993</t>
        </is>
      </c>
      <c r="P348" t="inlineStr">
        <is>
          <t>1st HarperCollins paperback ed.</t>
        </is>
      </c>
      <c r="Q348" t="inlineStr">
        <is>
          <t>eng</t>
        </is>
      </c>
      <c r="R348" t="inlineStr">
        <is>
          <t>cau</t>
        </is>
      </c>
      <c r="T348" t="inlineStr">
        <is>
          <t xml:space="preserve">BL </t>
        </is>
      </c>
      <c r="U348" t="n">
        <v>5</v>
      </c>
      <c r="V348" t="n">
        <v>5</v>
      </c>
      <c r="W348" t="inlineStr">
        <is>
          <t>1999-07-02</t>
        </is>
      </c>
      <c r="X348" t="inlineStr">
        <is>
          <t>1999-07-02</t>
        </is>
      </c>
      <c r="Y348" t="inlineStr">
        <is>
          <t>1996-05-30</t>
        </is>
      </c>
      <c r="Z348" t="inlineStr">
        <is>
          <t>1996-05-30</t>
        </is>
      </c>
      <c r="AA348" t="n">
        <v>327</v>
      </c>
      <c r="AB348" t="n">
        <v>298</v>
      </c>
      <c r="AC348" t="n">
        <v>308</v>
      </c>
      <c r="AD348" t="n">
        <v>3</v>
      </c>
      <c r="AE348" t="n">
        <v>3</v>
      </c>
      <c r="AF348" t="n">
        <v>14</v>
      </c>
      <c r="AG348" t="n">
        <v>14</v>
      </c>
      <c r="AH348" t="n">
        <v>7</v>
      </c>
      <c r="AI348" t="n">
        <v>7</v>
      </c>
      <c r="AJ348" t="n">
        <v>2</v>
      </c>
      <c r="AK348" t="n">
        <v>2</v>
      </c>
      <c r="AL348" t="n">
        <v>6</v>
      </c>
      <c r="AM348" t="n">
        <v>6</v>
      </c>
      <c r="AN348" t="n">
        <v>1</v>
      </c>
      <c r="AO348" t="n">
        <v>1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HYPERLINK("https://creighton-primo.hosted.exlibrisgroup.com/primo-explore/search?tab=default_tab&amp;search_scope=EVERYTHING&amp;vid=01CRU&amp;lang=en_US&amp;offset=0&amp;query=any,contains,991002055789702656","Catalog Record")</f>
        <v/>
      </c>
      <c r="AV348">
        <f>HYPERLINK("http://www.worldcat.org/oclc/26262440","WorldCat Record")</f>
        <v/>
      </c>
      <c r="AW348" t="inlineStr">
        <is>
          <t>3901595825:eng</t>
        </is>
      </c>
      <c r="AX348" t="inlineStr">
        <is>
          <t>26262440</t>
        </is>
      </c>
      <c r="AY348" t="inlineStr">
        <is>
          <t>991002055789702656</t>
        </is>
      </c>
      <c r="AZ348" t="inlineStr">
        <is>
          <t>991002055789702656</t>
        </is>
      </c>
      <c r="BA348" t="inlineStr">
        <is>
          <t>2266937200002656</t>
        </is>
      </c>
      <c r="BB348" t="inlineStr">
        <is>
          <t>BOOK</t>
        </is>
      </c>
      <c r="BD348" t="inlineStr">
        <is>
          <t>9780062507877</t>
        </is>
      </c>
      <c r="BE348" t="inlineStr">
        <is>
          <t>32285002179538</t>
        </is>
      </c>
      <c r="BF348" t="inlineStr">
        <is>
          <t>893709807</t>
        </is>
      </c>
    </row>
    <row r="349">
      <c r="A349" t="inlineStr">
        <is>
          <t>No</t>
        </is>
      </c>
      <c r="B349" t="inlineStr">
        <is>
          <t>CURAL</t>
        </is>
      </c>
      <c r="C349" t="inlineStr">
        <is>
          <t>SHELVES</t>
        </is>
      </c>
      <c r="D349" t="inlineStr">
        <is>
          <t>BL51 .S573</t>
        </is>
      </c>
      <c r="E349" t="inlineStr">
        <is>
          <t>0                      BL 0051000S  573</t>
        </is>
      </c>
      <c r="F349" t="inlineStr">
        <is>
          <t>Experience and God [by] John E. Smith.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Smith, John E. (John Edwin), 1921-2009.</t>
        </is>
      </c>
      <c r="N349" t="inlineStr">
        <is>
          <t>New York, Oxford University Press, 1968.</t>
        </is>
      </c>
      <c r="O349" t="inlineStr">
        <is>
          <t>1968</t>
        </is>
      </c>
      <c r="Q349" t="inlineStr">
        <is>
          <t>eng</t>
        </is>
      </c>
      <c r="R349" t="inlineStr">
        <is>
          <t>nyu</t>
        </is>
      </c>
      <c r="T349" t="inlineStr">
        <is>
          <t xml:space="preserve">BL </t>
        </is>
      </c>
      <c r="U349" t="n">
        <v>2</v>
      </c>
      <c r="V349" t="n">
        <v>2</v>
      </c>
      <c r="W349" t="inlineStr">
        <is>
          <t>2007-11-29</t>
        </is>
      </c>
      <c r="X349" t="inlineStr">
        <is>
          <t>2007-11-29</t>
        </is>
      </c>
      <c r="Y349" t="inlineStr">
        <is>
          <t>1990-09-26</t>
        </is>
      </c>
      <c r="Z349" t="inlineStr">
        <is>
          <t>1990-09-26</t>
        </is>
      </c>
      <c r="AA349" t="n">
        <v>728</v>
      </c>
      <c r="AB349" t="n">
        <v>619</v>
      </c>
      <c r="AC349" t="n">
        <v>913</v>
      </c>
      <c r="AD349" t="n">
        <v>5</v>
      </c>
      <c r="AE349" t="n">
        <v>8</v>
      </c>
      <c r="AF349" t="n">
        <v>35</v>
      </c>
      <c r="AG349" t="n">
        <v>51</v>
      </c>
      <c r="AH349" t="n">
        <v>11</v>
      </c>
      <c r="AI349" t="n">
        <v>20</v>
      </c>
      <c r="AJ349" t="n">
        <v>8</v>
      </c>
      <c r="AK349" t="n">
        <v>11</v>
      </c>
      <c r="AL349" t="n">
        <v>23</v>
      </c>
      <c r="AM349" t="n">
        <v>28</v>
      </c>
      <c r="AN349" t="n">
        <v>3</v>
      </c>
      <c r="AO349" t="n">
        <v>6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HYPERLINK("http://catalog.hathitrust.org/Record/001391346","HathiTrust Record")</f>
        <v/>
      </c>
      <c r="AU349">
        <f>HYPERLINK("https://creighton-primo.hosted.exlibrisgroup.com/primo-explore/search?tab=default_tab&amp;search_scope=EVERYTHING&amp;vid=01CRU&amp;lang=en_US&amp;offset=0&amp;query=any,contains,991002781919702656","Catalog Record")</f>
        <v/>
      </c>
      <c r="AV349">
        <f>HYPERLINK("http://www.worldcat.org/oclc/440509","WorldCat Record")</f>
        <v/>
      </c>
      <c r="AW349" t="inlineStr">
        <is>
          <t>368333770:eng</t>
        </is>
      </c>
      <c r="AX349" t="inlineStr">
        <is>
          <t>440509</t>
        </is>
      </c>
      <c r="AY349" t="inlineStr">
        <is>
          <t>991002781919702656</t>
        </is>
      </c>
      <c r="AZ349" t="inlineStr">
        <is>
          <t>991002781919702656</t>
        </is>
      </c>
      <c r="BA349" t="inlineStr">
        <is>
          <t>2256772760002656</t>
        </is>
      </c>
      <c r="BB349" t="inlineStr">
        <is>
          <t>BOOK</t>
        </is>
      </c>
      <c r="BE349" t="inlineStr">
        <is>
          <t>32285000321496</t>
        </is>
      </c>
      <c r="BF349" t="inlineStr">
        <is>
          <t>893347924</t>
        </is>
      </c>
    </row>
    <row r="350">
      <c r="A350" t="inlineStr">
        <is>
          <t>No</t>
        </is>
      </c>
      <c r="B350" t="inlineStr">
        <is>
          <t>CURAL</t>
        </is>
      </c>
      <c r="C350" t="inlineStr">
        <is>
          <t>SHELVES</t>
        </is>
      </c>
      <c r="D350" t="inlineStr">
        <is>
          <t>BL51 .S575</t>
        </is>
      </c>
      <c r="E350" t="inlineStr">
        <is>
          <t>0                      BL 0051000S  575</t>
        </is>
      </c>
      <c r="F350" t="inlineStr">
        <is>
          <t>Philosophy of religion / John E. Smith.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M350" t="inlineStr">
        <is>
          <t>Smith, John E. (John Edwin), 1921-2009 editor.</t>
        </is>
      </c>
      <c r="N350" t="inlineStr">
        <is>
          <t>New York : Macmillan, c1965, 1970 printing.</t>
        </is>
      </c>
      <c r="O350" t="inlineStr">
        <is>
          <t>1965</t>
        </is>
      </c>
      <c r="Q350" t="inlineStr">
        <is>
          <t>eng</t>
        </is>
      </c>
      <c r="R350" t="inlineStr">
        <is>
          <t>___</t>
        </is>
      </c>
      <c r="S350" t="inlineStr">
        <is>
          <t>Sources in philosophy</t>
        </is>
      </c>
      <c r="T350" t="inlineStr">
        <is>
          <t xml:space="preserve">BL </t>
        </is>
      </c>
      <c r="U350" t="n">
        <v>6</v>
      </c>
      <c r="V350" t="n">
        <v>6</v>
      </c>
      <c r="W350" t="inlineStr">
        <is>
          <t>2007-11-29</t>
        </is>
      </c>
      <c r="X350" t="inlineStr">
        <is>
          <t>2007-11-29</t>
        </is>
      </c>
      <c r="Y350" t="inlineStr">
        <is>
          <t>1990-09-26</t>
        </is>
      </c>
      <c r="Z350" t="inlineStr">
        <is>
          <t>1990-09-26</t>
        </is>
      </c>
      <c r="AA350" t="n">
        <v>529</v>
      </c>
      <c r="AB350" t="n">
        <v>437</v>
      </c>
      <c r="AC350" t="n">
        <v>443</v>
      </c>
      <c r="AD350" t="n">
        <v>3</v>
      </c>
      <c r="AE350" t="n">
        <v>3</v>
      </c>
      <c r="AF350" t="n">
        <v>28</v>
      </c>
      <c r="AG350" t="n">
        <v>28</v>
      </c>
      <c r="AH350" t="n">
        <v>14</v>
      </c>
      <c r="AI350" t="n">
        <v>14</v>
      </c>
      <c r="AJ350" t="n">
        <v>4</v>
      </c>
      <c r="AK350" t="n">
        <v>4</v>
      </c>
      <c r="AL350" t="n">
        <v>17</v>
      </c>
      <c r="AM350" t="n">
        <v>17</v>
      </c>
      <c r="AN350" t="n">
        <v>1</v>
      </c>
      <c r="AO350" t="n">
        <v>1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HYPERLINK("http://catalog.hathitrust.org/Record/009906794","HathiTrust Record")</f>
        <v/>
      </c>
      <c r="AU350">
        <f>HYPERLINK("https://creighton-primo.hosted.exlibrisgroup.com/primo-explore/search?tab=default_tab&amp;search_scope=EVERYTHING&amp;vid=01CRU&amp;lang=en_US&amp;offset=0&amp;query=any,contains,991002574989702656","Catalog Record")</f>
        <v/>
      </c>
      <c r="AV350">
        <f>HYPERLINK("http://www.worldcat.org/oclc/374653","WorldCat Record")</f>
        <v/>
      </c>
      <c r="AW350" t="inlineStr">
        <is>
          <t>368332138:eng</t>
        </is>
      </c>
      <c r="AX350" t="inlineStr">
        <is>
          <t>374653</t>
        </is>
      </c>
      <c r="AY350" t="inlineStr">
        <is>
          <t>991002574989702656</t>
        </is>
      </c>
      <c r="AZ350" t="inlineStr">
        <is>
          <t>991002574989702656</t>
        </is>
      </c>
      <c r="BA350" t="inlineStr">
        <is>
          <t>2262274340002656</t>
        </is>
      </c>
      <c r="BB350" t="inlineStr">
        <is>
          <t>BOOK</t>
        </is>
      </c>
      <c r="BE350" t="inlineStr">
        <is>
          <t>32285000321504</t>
        </is>
      </c>
      <c r="BF350" t="inlineStr">
        <is>
          <t>893716626</t>
        </is>
      </c>
    </row>
    <row r="351">
      <c r="A351" t="inlineStr">
        <is>
          <t>No</t>
        </is>
      </c>
      <c r="B351" t="inlineStr">
        <is>
          <t>CURAL</t>
        </is>
      </c>
      <c r="C351" t="inlineStr">
        <is>
          <t>SHELVES</t>
        </is>
      </c>
      <c r="D351" t="inlineStr">
        <is>
          <t>BL51 .S577</t>
        </is>
      </c>
      <c r="E351" t="inlineStr">
        <is>
          <t>0                      BL 0051000S  577</t>
        </is>
      </c>
      <c r="F351" t="inlineStr">
        <is>
          <t>Reason and God.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M351" t="inlineStr">
        <is>
          <t>Smith, John E. (John Edwin), 1921-2009.</t>
        </is>
      </c>
      <c r="N351" t="inlineStr">
        <is>
          <t>New Haven, Yale University Press, 1961.</t>
        </is>
      </c>
      <c r="O351" t="inlineStr">
        <is>
          <t>1961</t>
        </is>
      </c>
      <c r="Q351" t="inlineStr">
        <is>
          <t>eng</t>
        </is>
      </c>
      <c r="R351" t="inlineStr">
        <is>
          <t>___</t>
        </is>
      </c>
      <c r="T351" t="inlineStr">
        <is>
          <t xml:space="preserve">BL </t>
        </is>
      </c>
      <c r="U351" t="n">
        <v>2</v>
      </c>
      <c r="V351" t="n">
        <v>2</v>
      </c>
      <c r="W351" t="inlineStr">
        <is>
          <t>2008-12-10</t>
        </is>
      </c>
      <c r="X351" t="inlineStr">
        <is>
          <t>2008-12-10</t>
        </is>
      </c>
      <c r="Y351" t="inlineStr">
        <is>
          <t>1990-09-26</t>
        </is>
      </c>
      <c r="Z351" t="inlineStr">
        <is>
          <t>1990-09-26</t>
        </is>
      </c>
      <c r="AA351" t="n">
        <v>833</v>
      </c>
      <c r="AB351" t="n">
        <v>753</v>
      </c>
      <c r="AC351" t="n">
        <v>805</v>
      </c>
      <c r="AD351" t="n">
        <v>7</v>
      </c>
      <c r="AE351" t="n">
        <v>7</v>
      </c>
      <c r="AF351" t="n">
        <v>43</v>
      </c>
      <c r="AG351" t="n">
        <v>44</v>
      </c>
      <c r="AH351" t="n">
        <v>17</v>
      </c>
      <c r="AI351" t="n">
        <v>17</v>
      </c>
      <c r="AJ351" t="n">
        <v>7</v>
      </c>
      <c r="AK351" t="n">
        <v>8</v>
      </c>
      <c r="AL351" t="n">
        <v>25</v>
      </c>
      <c r="AM351" t="n">
        <v>26</v>
      </c>
      <c r="AN351" t="n">
        <v>5</v>
      </c>
      <c r="AO351" t="n">
        <v>5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HYPERLINK("http://catalog.hathitrust.org/Record/001391347","HathiTrust Record")</f>
        <v/>
      </c>
      <c r="AU351">
        <f>HYPERLINK("https://creighton-primo.hosted.exlibrisgroup.com/primo-explore/search?tab=default_tab&amp;search_scope=EVERYTHING&amp;vid=01CRU&amp;lang=en_US&amp;offset=0&amp;query=any,contains,991002574079702656","Catalog Record")</f>
        <v/>
      </c>
      <c r="AV351">
        <f>HYPERLINK("http://www.worldcat.org/oclc/374489","WorldCat Record")</f>
        <v/>
      </c>
      <c r="AW351" t="inlineStr">
        <is>
          <t>319565935:eng</t>
        </is>
      </c>
      <c r="AX351" t="inlineStr">
        <is>
          <t>374489</t>
        </is>
      </c>
      <c r="AY351" t="inlineStr">
        <is>
          <t>991002574079702656</t>
        </is>
      </c>
      <c r="AZ351" t="inlineStr">
        <is>
          <t>991002574079702656</t>
        </is>
      </c>
      <c r="BA351" t="inlineStr">
        <is>
          <t>2262406690002656</t>
        </is>
      </c>
      <c r="BB351" t="inlineStr">
        <is>
          <t>BOOK</t>
        </is>
      </c>
      <c r="BE351" t="inlineStr">
        <is>
          <t>32285000321512</t>
        </is>
      </c>
      <c r="BF351" t="inlineStr">
        <is>
          <t>893257463</t>
        </is>
      </c>
    </row>
    <row r="352">
      <c r="A352" t="inlineStr">
        <is>
          <t>No</t>
        </is>
      </c>
      <c r="B352" t="inlineStr">
        <is>
          <t>CURAL</t>
        </is>
      </c>
      <c r="C352" t="inlineStr">
        <is>
          <t>SHELVES</t>
        </is>
      </c>
      <c r="D352" t="inlineStr">
        <is>
          <t>BL51 .S587 1978</t>
        </is>
      </c>
      <c r="E352" t="inlineStr">
        <is>
          <t>0                      BL 0051000S  587         1978</t>
        </is>
      </c>
      <c r="F352" t="inlineStr">
        <is>
          <t>The meaning and end of religion / Wilfred Cantwell Smith; foreword by John Hick.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M352" t="inlineStr">
        <is>
          <t>Smith, Wilfred Cantwell, 1916-2000.</t>
        </is>
      </c>
      <c r="N352" t="inlineStr">
        <is>
          <t>San Francisco : Harper &amp; Row, 1978.</t>
        </is>
      </c>
      <c r="O352" t="inlineStr">
        <is>
          <t>1978</t>
        </is>
      </c>
      <c r="Q352" t="inlineStr">
        <is>
          <t>eng</t>
        </is>
      </c>
      <c r="R352" t="inlineStr">
        <is>
          <t>cau</t>
        </is>
      </c>
      <c r="T352" t="inlineStr">
        <is>
          <t xml:space="preserve">BL </t>
        </is>
      </c>
      <c r="U352" t="n">
        <v>4</v>
      </c>
      <c r="V352" t="n">
        <v>4</v>
      </c>
      <c r="W352" t="inlineStr">
        <is>
          <t>1999-12-02</t>
        </is>
      </c>
      <c r="X352" t="inlineStr">
        <is>
          <t>1999-12-02</t>
        </is>
      </c>
      <c r="Y352" t="inlineStr">
        <is>
          <t>1990-09-26</t>
        </is>
      </c>
      <c r="Z352" t="inlineStr">
        <is>
          <t>1990-09-26</t>
        </is>
      </c>
      <c r="AA352" t="n">
        <v>136</v>
      </c>
      <c r="AB352" t="n">
        <v>129</v>
      </c>
      <c r="AC352" t="n">
        <v>689</v>
      </c>
      <c r="AD352" t="n">
        <v>2</v>
      </c>
      <c r="AE352" t="n">
        <v>7</v>
      </c>
      <c r="AF352" t="n">
        <v>11</v>
      </c>
      <c r="AG352" t="n">
        <v>37</v>
      </c>
      <c r="AH352" t="n">
        <v>5</v>
      </c>
      <c r="AI352" t="n">
        <v>15</v>
      </c>
      <c r="AJ352" t="n">
        <v>2</v>
      </c>
      <c r="AK352" t="n">
        <v>6</v>
      </c>
      <c r="AL352" t="n">
        <v>6</v>
      </c>
      <c r="AM352" t="n">
        <v>19</v>
      </c>
      <c r="AN352" t="n">
        <v>0</v>
      </c>
      <c r="AO352" t="n">
        <v>5</v>
      </c>
      <c r="AP352" t="n">
        <v>0</v>
      </c>
      <c r="AQ352" t="n">
        <v>0</v>
      </c>
      <c r="AR352" t="inlineStr">
        <is>
          <t>No</t>
        </is>
      </c>
      <c r="AS352" t="inlineStr">
        <is>
          <t>Yes</t>
        </is>
      </c>
      <c r="AT352">
        <f>HYPERLINK("http://catalog.hathitrust.org/Record/102012385","HathiTrust Record")</f>
        <v/>
      </c>
      <c r="AU352">
        <f>HYPERLINK("https://creighton-primo.hosted.exlibrisgroup.com/primo-explore/search?tab=default_tab&amp;search_scope=EVERYTHING&amp;vid=01CRU&amp;lang=en_US&amp;offset=0&amp;query=any,contains,991004987579702656","Catalog Record")</f>
        <v/>
      </c>
      <c r="AV352">
        <f>HYPERLINK("http://www.worldcat.org/oclc/6638377","WorldCat Record")</f>
        <v/>
      </c>
      <c r="AW352" t="inlineStr">
        <is>
          <t>10178130651:eng</t>
        </is>
      </c>
      <c r="AX352" t="inlineStr">
        <is>
          <t>6638377</t>
        </is>
      </c>
      <c r="AY352" t="inlineStr">
        <is>
          <t>991004987579702656</t>
        </is>
      </c>
      <c r="AZ352" t="inlineStr">
        <is>
          <t>991004987579702656</t>
        </is>
      </c>
      <c r="BA352" t="inlineStr">
        <is>
          <t>2258485410002656</t>
        </is>
      </c>
      <c r="BB352" t="inlineStr">
        <is>
          <t>BOOK</t>
        </is>
      </c>
      <c r="BE352" t="inlineStr">
        <is>
          <t>32285000321538</t>
        </is>
      </c>
      <c r="BF352" t="inlineStr">
        <is>
          <t>893430678</t>
        </is>
      </c>
    </row>
    <row r="353">
      <c r="A353" t="inlineStr">
        <is>
          <t>No</t>
        </is>
      </c>
      <c r="B353" t="inlineStr">
        <is>
          <t>CURAL</t>
        </is>
      </c>
      <c r="C353" t="inlineStr">
        <is>
          <t>SHELVES</t>
        </is>
      </c>
      <c r="D353" t="inlineStr">
        <is>
          <t>BL51 .S588</t>
        </is>
      </c>
      <c r="E353" t="inlineStr">
        <is>
          <t>0                      BL 0051000S  588</t>
        </is>
      </c>
      <c r="F353" t="inlineStr">
        <is>
          <t>Towards a world theology : faith and the comparative history of religion / by Wilfred Cantwell Smith.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Smith, Wilfred Cantwell, 1916-2000.</t>
        </is>
      </c>
      <c r="N353" t="inlineStr">
        <is>
          <t>Philadelphia, Pa. : Westminster Press, 1981.</t>
        </is>
      </c>
      <c r="O353" t="inlineStr">
        <is>
          <t>1981</t>
        </is>
      </c>
      <c r="Q353" t="inlineStr">
        <is>
          <t>eng</t>
        </is>
      </c>
      <c r="R353" t="inlineStr">
        <is>
          <t>pau</t>
        </is>
      </c>
      <c r="T353" t="inlineStr">
        <is>
          <t xml:space="preserve">BL </t>
        </is>
      </c>
      <c r="U353" t="n">
        <v>3</v>
      </c>
      <c r="V353" t="n">
        <v>3</v>
      </c>
      <c r="W353" t="inlineStr">
        <is>
          <t>1997-12-10</t>
        </is>
      </c>
      <c r="X353" t="inlineStr">
        <is>
          <t>1997-12-10</t>
        </is>
      </c>
      <c r="Y353" t="inlineStr">
        <is>
          <t>1990-09-26</t>
        </is>
      </c>
      <c r="Z353" t="inlineStr">
        <is>
          <t>1990-09-26</t>
        </is>
      </c>
      <c r="AA353" t="n">
        <v>672</v>
      </c>
      <c r="AB353" t="n">
        <v>603</v>
      </c>
      <c r="AC353" t="n">
        <v>692</v>
      </c>
      <c r="AD353" t="n">
        <v>2</v>
      </c>
      <c r="AE353" t="n">
        <v>3</v>
      </c>
      <c r="AF353" t="n">
        <v>34</v>
      </c>
      <c r="AG353" t="n">
        <v>39</v>
      </c>
      <c r="AH353" t="n">
        <v>15</v>
      </c>
      <c r="AI353" t="n">
        <v>15</v>
      </c>
      <c r="AJ353" t="n">
        <v>6</v>
      </c>
      <c r="AK353" t="n">
        <v>8</v>
      </c>
      <c r="AL353" t="n">
        <v>22</v>
      </c>
      <c r="AM353" t="n">
        <v>25</v>
      </c>
      <c r="AN353" t="n">
        <v>1</v>
      </c>
      <c r="AO353" t="n">
        <v>2</v>
      </c>
      <c r="AP353" t="n">
        <v>0</v>
      </c>
      <c r="AQ353" t="n">
        <v>0</v>
      </c>
      <c r="AR353" t="inlineStr">
        <is>
          <t>No</t>
        </is>
      </c>
      <c r="AS353" t="inlineStr">
        <is>
          <t>Yes</t>
        </is>
      </c>
      <c r="AT353">
        <f>HYPERLINK("http://catalog.hathitrust.org/Record/101900377","HathiTrust Record")</f>
        <v/>
      </c>
      <c r="AU353">
        <f>HYPERLINK("https://creighton-primo.hosted.exlibrisgroup.com/primo-explore/search?tab=default_tab&amp;search_scope=EVERYTHING&amp;vid=01CRU&amp;lang=en_US&amp;offset=0&amp;query=any,contains,991005092089702656","Catalog Record")</f>
        <v/>
      </c>
      <c r="AV353">
        <f>HYPERLINK("http://www.worldcat.org/oclc/7236104","WorldCat Record")</f>
        <v/>
      </c>
      <c r="AW353" t="inlineStr">
        <is>
          <t>225583895:eng</t>
        </is>
      </c>
      <c r="AX353" t="inlineStr">
        <is>
          <t>7236104</t>
        </is>
      </c>
      <c r="AY353" t="inlineStr">
        <is>
          <t>991005092089702656</t>
        </is>
      </c>
      <c r="AZ353" t="inlineStr">
        <is>
          <t>991005092089702656</t>
        </is>
      </c>
      <c r="BA353" t="inlineStr">
        <is>
          <t>2262614560002656</t>
        </is>
      </c>
      <c r="BB353" t="inlineStr">
        <is>
          <t>BOOK</t>
        </is>
      </c>
      <c r="BD353" t="inlineStr">
        <is>
          <t>9780664213800</t>
        </is>
      </c>
      <c r="BE353" t="inlineStr">
        <is>
          <t>32285000321546</t>
        </is>
      </c>
      <c r="BF353" t="inlineStr">
        <is>
          <t>893606814</t>
        </is>
      </c>
    </row>
    <row r="354">
      <c r="A354" t="inlineStr">
        <is>
          <t>No</t>
        </is>
      </c>
      <c r="B354" t="inlineStr">
        <is>
          <t>CURAL</t>
        </is>
      </c>
      <c r="C354" t="inlineStr">
        <is>
          <t>SHELVES</t>
        </is>
      </c>
      <c r="D354" t="inlineStr">
        <is>
          <t>BL51 .S617 1948</t>
        </is>
      </c>
      <c r="E354" t="inlineStr">
        <is>
          <t>0                      BL 0051000S  617         1948</t>
        </is>
      </c>
      <c r="F354" t="inlineStr">
        <is>
          <t>Lectures on Godmanhood. With an introduction by Peter Peter Zouboff.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M354" t="inlineStr">
        <is>
          <t>Solovyov, Vladimir Sergeyevich, 1853-1900.</t>
        </is>
      </c>
      <c r="N354" t="inlineStr">
        <is>
          <t>London, Dennis Dobson [1948]</t>
        </is>
      </c>
      <c r="O354" t="inlineStr">
        <is>
          <t>1948</t>
        </is>
      </c>
      <c r="Q354" t="inlineStr">
        <is>
          <t>eng</t>
        </is>
      </c>
      <c r="R354" t="inlineStr">
        <is>
          <t>enk</t>
        </is>
      </c>
      <c r="T354" t="inlineStr">
        <is>
          <t xml:space="preserve">BL </t>
        </is>
      </c>
      <c r="U354" t="n">
        <v>2</v>
      </c>
      <c r="V354" t="n">
        <v>2</v>
      </c>
      <c r="W354" t="inlineStr">
        <is>
          <t>2001-12-07</t>
        </is>
      </c>
      <c r="X354" t="inlineStr">
        <is>
          <t>2001-12-07</t>
        </is>
      </c>
      <c r="Y354" t="inlineStr">
        <is>
          <t>1990-09-26</t>
        </is>
      </c>
      <c r="Z354" t="inlineStr">
        <is>
          <t>1990-09-26</t>
        </is>
      </c>
      <c r="AA354" t="n">
        <v>254</v>
      </c>
      <c r="AB354" t="n">
        <v>202</v>
      </c>
      <c r="AC354" t="n">
        <v>224</v>
      </c>
      <c r="AD354" t="n">
        <v>2</v>
      </c>
      <c r="AE354" t="n">
        <v>2</v>
      </c>
      <c r="AF354" t="n">
        <v>16</v>
      </c>
      <c r="AG354" t="n">
        <v>17</v>
      </c>
      <c r="AH354" t="n">
        <v>3</v>
      </c>
      <c r="AI354" t="n">
        <v>4</v>
      </c>
      <c r="AJ354" t="n">
        <v>5</v>
      </c>
      <c r="AK354" t="n">
        <v>5</v>
      </c>
      <c r="AL354" t="n">
        <v>12</v>
      </c>
      <c r="AM354" t="n">
        <v>13</v>
      </c>
      <c r="AN354" t="n">
        <v>1</v>
      </c>
      <c r="AO354" t="n">
        <v>1</v>
      </c>
      <c r="AP354" t="n">
        <v>0</v>
      </c>
      <c r="AQ354" t="n">
        <v>0</v>
      </c>
      <c r="AR354" t="inlineStr">
        <is>
          <t>No</t>
        </is>
      </c>
      <c r="AS354" t="inlineStr">
        <is>
          <t>Yes</t>
        </is>
      </c>
      <c r="AT354">
        <f>HYPERLINK("http://catalog.hathitrust.org/Record/001921528","HathiTrust Record")</f>
        <v/>
      </c>
      <c r="AU354">
        <f>HYPERLINK("https://creighton-primo.hosted.exlibrisgroup.com/primo-explore/search?tab=default_tab&amp;search_scope=EVERYTHING&amp;vid=01CRU&amp;lang=en_US&amp;offset=0&amp;query=any,contains,991004216909702656","Catalog Record")</f>
        <v/>
      </c>
      <c r="AV354">
        <f>HYPERLINK("http://www.worldcat.org/oclc/260364","WorldCat Record")</f>
        <v/>
      </c>
      <c r="AW354" t="inlineStr">
        <is>
          <t>2824990907:eng</t>
        </is>
      </c>
      <c r="AX354" t="inlineStr">
        <is>
          <t>260364</t>
        </is>
      </c>
      <c r="AY354" t="inlineStr">
        <is>
          <t>991004216909702656</t>
        </is>
      </c>
      <c r="AZ354" t="inlineStr">
        <is>
          <t>991004216909702656</t>
        </is>
      </c>
      <c r="BA354" t="inlineStr">
        <is>
          <t>2266762100002656</t>
        </is>
      </c>
      <c r="BB354" t="inlineStr">
        <is>
          <t>BOOK</t>
        </is>
      </c>
      <c r="BE354" t="inlineStr">
        <is>
          <t>32285000321553</t>
        </is>
      </c>
      <c r="BF354" t="inlineStr">
        <is>
          <t>893775777</t>
        </is>
      </c>
    </row>
    <row r="355">
      <c r="A355" t="inlineStr">
        <is>
          <t>No</t>
        </is>
      </c>
      <c r="B355" t="inlineStr">
        <is>
          <t>CURAL</t>
        </is>
      </c>
      <c r="C355" t="inlineStr">
        <is>
          <t>SHELVES</t>
        </is>
      </c>
      <c r="D355" t="inlineStr">
        <is>
          <t>BL51 .T4</t>
        </is>
      </c>
      <c r="E355" t="inlineStr">
        <is>
          <t>0                      BL 0051000T  4</t>
        </is>
      </c>
      <c r="F355" t="inlineStr">
        <is>
          <t>Philosophical theology, by F. R. Tennant.</t>
        </is>
      </c>
      <c r="G355" t="inlineStr">
        <is>
          <t>V.2</t>
        </is>
      </c>
      <c r="H355" t="inlineStr">
        <is>
          <t>Yes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Tennant, Frederick Robert, 1866-1957.</t>
        </is>
      </c>
      <c r="N355" t="inlineStr">
        <is>
          <t>Cambridge [Eng.] The University Press, 1928-30, 1968 printing.</t>
        </is>
      </c>
      <c r="O355" t="inlineStr">
        <is>
          <t>1928</t>
        </is>
      </c>
      <c r="Q355" t="inlineStr">
        <is>
          <t>eng</t>
        </is>
      </c>
      <c r="R355" t="inlineStr">
        <is>
          <t>___</t>
        </is>
      </c>
      <c r="T355" t="inlineStr">
        <is>
          <t xml:space="preserve">BL </t>
        </is>
      </c>
      <c r="U355" t="n">
        <v>3</v>
      </c>
      <c r="V355" t="n">
        <v>3</v>
      </c>
      <c r="W355" t="inlineStr">
        <is>
          <t>2009-04-27</t>
        </is>
      </c>
      <c r="X355" t="inlineStr">
        <is>
          <t>2009-04-27</t>
        </is>
      </c>
      <c r="Y355" t="inlineStr">
        <is>
          <t>1990-09-26</t>
        </is>
      </c>
      <c r="Z355" t="inlineStr">
        <is>
          <t>1990-09-26</t>
        </is>
      </c>
      <c r="AA355" t="n">
        <v>446</v>
      </c>
      <c r="AB355" t="n">
        <v>373</v>
      </c>
      <c r="AC355" t="n">
        <v>598</v>
      </c>
      <c r="AD355" t="n">
        <v>4</v>
      </c>
      <c r="AE355" t="n">
        <v>6</v>
      </c>
      <c r="AF355" t="n">
        <v>16</v>
      </c>
      <c r="AG355" t="n">
        <v>23</v>
      </c>
      <c r="AH355" t="n">
        <v>5</v>
      </c>
      <c r="AI355" t="n">
        <v>7</v>
      </c>
      <c r="AJ355" t="n">
        <v>2</v>
      </c>
      <c r="AK355" t="n">
        <v>6</v>
      </c>
      <c r="AL355" t="n">
        <v>10</v>
      </c>
      <c r="AM355" t="n">
        <v>13</v>
      </c>
      <c r="AN355" t="n">
        <v>3</v>
      </c>
      <c r="AO355" t="n">
        <v>4</v>
      </c>
      <c r="AP355" t="n">
        <v>0</v>
      </c>
      <c r="AQ355" t="n">
        <v>0</v>
      </c>
      <c r="AR355" t="inlineStr">
        <is>
          <t>No</t>
        </is>
      </c>
      <c r="AS355" t="inlineStr">
        <is>
          <t>Yes</t>
        </is>
      </c>
      <c r="AT355">
        <f>HYPERLINK("http://catalog.hathitrust.org/Record/001391361","HathiTrust Record")</f>
        <v/>
      </c>
      <c r="AU355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5">
        <f>HYPERLINK("http://www.worldcat.org/oclc/1372828","WorldCat Record")</f>
        <v/>
      </c>
      <c r="AW355" t="inlineStr">
        <is>
          <t>5481429035:eng</t>
        </is>
      </c>
      <c r="AX355" t="inlineStr">
        <is>
          <t>1372828</t>
        </is>
      </c>
      <c r="AY355" t="inlineStr">
        <is>
          <t>991003725739702656</t>
        </is>
      </c>
      <c r="AZ355" t="inlineStr">
        <is>
          <t>991003725739702656</t>
        </is>
      </c>
      <c r="BA355" t="inlineStr">
        <is>
          <t>2260778180002656</t>
        </is>
      </c>
      <c r="BB355" t="inlineStr">
        <is>
          <t>BOOK</t>
        </is>
      </c>
      <c r="BE355" t="inlineStr">
        <is>
          <t>32285000321603</t>
        </is>
      </c>
      <c r="BF355" t="inlineStr">
        <is>
          <t>893429129</t>
        </is>
      </c>
    </row>
    <row r="356">
      <c r="A356" t="inlineStr">
        <is>
          <t>No</t>
        </is>
      </c>
      <c r="B356" t="inlineStr">
        <is>
          <t>CURAL</t>
        </is>
      </c>
      <c r="C356" t="inlineStr">
        <is>
          <t>SHELVES</t>
        </is>
      </c>
      <c r="D356" t="inlineStr">
        <is>
          <t>BL51 .T4</t>
        </is>
      </c>
      <c r="E356" t="inlineStr">
        <is>
          <t>0                      BL 0051000T  4</t>
        </is>
      </c>
      <c r="F356" t="inlineStr">
        <is>
          <t>Philosophical theology, by F. R. Tennant.</t>
        </is>
      </c>
      <c r="G356" t="inlineStr">
        <is>
          <t>V.1</t>
        </is>
      </c>
      <c r="H356" t="inlineStr">
        <is>
          <t>Yes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M356" t="inlineStr">
        <is>
          <t>Tennant, Frederick Robert, 1866-1957.</t>
        </is>
      </c>
      <c r="N356" t="inlineStr">
        <is>
          <t>Cambridge [Eng.] The University Press, 1928-30, 1968 printing.</t>
        </is>
      </c>
      <c r="O356" t="inlineStr">
        <is>
          <t>1928</t>
        </is>
      </c>
      <c r="Q356" t="inlineStr">
        <is>
          <t>eng</t>
        </is>
      </c>
      <c r="R356" t="inlineStr">
        <is>
          <t>___</t>
        </is>
      </c>
      <c r="T356" t="inlineStr">
        <is>
          <t xml:space="preserve">BL </t>
        </is>
      </c>
      <c r="U356" t="n">
        <v>0</v>
      </c>
      <c r="V356" t="n">
        <v>3</v>
      </c>
      <c r="X356" t="inlineStr">
        <is>
          <t>2009-04-27</t>
        </is>
      </c>
      <c r="Y356" t="inlineStr">
        <is>
          <t>1990-09-26</t>
        </is>
      </c>
      <c r="Z356" t="inlineStr">
        <is>
          <t>1990-09-26</t>
        </is>
      </c>
      <c r="AA356" t="n">
        <v>446</v>
      </c>
      <c r="AB356" t="n">
        <v>373</v>
      </c>
      <c r="AC356" t="n">
        <v>598</v>
      </c>
      <c r="AD356" t="n">
        <v>4</v>
      </c>
      <c r="AE356" t="n">
        <v>6</v>
      </c>
      <c r="AF356" t="n">
        <v>16</v>
      </c>
      <c r="AG356" t="n">
        <v>23</v>
      </c>
      <c r="AH356" t="n">
        <v>5</v>
      </c>
      <c r="AI356" t="n">
        <v>7</v>
      </c>
      <c r="AJ356" t="n">
        <v>2</v>
      </c>
      <c r="AK356" t="n">
        <v>6</v>
      </c>
      <c r="AL356" t="n">
        <v>10</v>
      </c>
      <c r="AM356" t="n">
        <v>13</v>
      </c>
      <c r="AN356" t="n">
        <v>3</v>
      </c>
      <c r="AO356" t="n">
        <v>4</v>
      </c>
      <c r="AP356" t="n">
        <v>0</v>
      </c>
      <c r="AQ356" t="n">
        <v>0</v>
      </c>
      <c r="AR356" t="inlineStr">
        <is>
          <t>No</t>
        </is>
      </c>
      <c r="AS356" t="inlineStr">
        <is>
          <t>Yes</t>
        </is>
      </c>
      <c r="AT356">
        <f>HYPERLINK("http://catalog.hathitrust.org/Record/001391361","HathiTrust Record")</f>
        <v/>
      </c>
      <c r="AU356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6">
        <f>HYPERLINK("http://www.worldcat.org/oclc/1372828","WorldCat Record")</f>
        <v/>
      </c>
      <c r="AW356" t="inlineStr">
        <is>
          <t>5481429035:eng</t>
        </is>
      </c>
      <c r="AX356" t="inlineStr">
        <is>
          <t>1372828</t>
        </is>
      </c>
      <c r="AY356" t="inlineStr">
        <is>
          <t>991003725739702656</t>
        </is>
      </c>
      <c r="AZ356" t="inlineStr">
        <is>
          <t>991003725739702656</t>
        </is>
      </c>
      <c r="BA356" t="inlineStr">
        <is>
          <t>2260778180002656</t>
        </is>
      </c>
      <c r="BB356" t="inlineStr">
        <is>
          <t>BOOK</t>
        </is>
      </c>
      <c r="BE356" t="inlineStr">
        <is>
          <t>32285000321595</t>
        </is>
      </c>
      <c r="BF356" t="inlineStr">
        <is>
          <t>893410601</t>
        </is>
      </c>
    </row>
    <row r="357">
      <c r="A357" t="inlineStr">
        <is>
          <t>No</t>
        </is>
      </c>
      <c r="B357" t="inlineStr">
        <is>
          <t>CURAL</t>
        </is>
      </c>
      <c r="C357" t="inlineStr">
        <is>
          <t>SHELVES</t>
        </is>
      </c>
      <c r="D357" t="inlineStr">
        <is>
          <t>BL51 .T438</t>
        </is>
      </c>
      <c r="E357" t="inlineStr">
        <is>
          <t>0                      BL 0051000T  438</t>
        </is>
      </c>
      <c r="F357" t="inlineStr">
        <is>
          <t>Philosophy and religious belief [by] George F. Thomas.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Thomas, George F. (George Finger), 1899-1977.</t>
        </is>
      </c>
      <c r="N357" t="inlineStr">
        <is>
          <t>New York, Scribner [1970]</t>
        </is>
      </c>
      <c r="O357" t="inlineStr">
        <is>
          <t>1970</t>
        </is>
      </c>
      <c r="Q357" t="inlineStr">
        <is>
          <t>eng</t>
        </is>
      </c>
      <c r="R357" t="inlineStr">
        <is>
          <t>nyu</t>
        </is>
      </c>
      <c r="T357" t="inlineStr">
        <is>
          <t xml:space="preserve">BL </t>
        </is>
      </c>
      <c r="U357" t="n">
        <v>2</v>
      </c>
      <c r="V357" t="n">
        <v>2</v>
      </c>
      <c r="W357" t="inlineStr">
        <is>
          <t>2009-04-27</t>
        </is>
      </c>
      <c r="X357" t="inlineStr">
        <is>
          <t>2009-04-27</t>
        </is>
      </c>
      <c r="Y357" t="inlineStr">
        <is>
          <t>1990-09-26</t>
        </is>
      </c>
      <c r="Z357" t="inlineStr">
        <is>
          <t>1990-09-26</t>
        </is>
      </c>
      <c r="AA357" t="n">
        <v>533</v>
      </c>
      <c r="AB357" t="n">
        <v>472</v>
      </c>
      <c r="AC357" t="n">
        <v>479</v>
      </c>
      <c r="AD357" t="n">
        <v>4</v>
      </c>
      <c r="AE357" t="n">
        <v>4</v>
      </c>
      <c r="AF357" t="n">
        <v>22</v>
      </c>
      <c r="AG357" t="n">
        <v>22</v>
      </c>
      <c r="AH357" t="n">
        <v>9</v>
      </c>
      <c r="AI357" t="n">
        <v>9</v>
      </c>
      <c r="AJ357" t="n">
        <v>4</v>
      </c>
      <c r="AK357" t="n">
        <v>4</v>
      </c>
      <c r="AL357" t="n">
        <v>10</v>
      </c>
      <c r="AM357" t="n">
        <v>10</v>
      </c>
      <c r="AN357" t="n">
        <v>3</v>
      </c>
      <c r="AO357" t="n">
        <v>3</v>
      </c>
      <c r="AP357" t="n">
        <v>0</v>
      </c>
      <c r="AQ357" t="n">
        <v>0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HYPERLINK("http://catalog.hathitrust.org/Record/001391365","HathiTrust Record")</f>
        <v/>
      </c>
      <c r="AU357">
        <f>HYPERLINK("https://creighton-primo.hosted.exlibrisgroup.com/primo-explore/search?tab=default_tab&amp;search_scope=EVERYTHING&amp;vid=01CRU&amp;lang=en_US&amp;offset=0&amp;query=any,contains,991000489729702656","Catalog Record")</f>
        <v/>
      </c>
      <c r="AV357">
        <f>HYPERLINK("http://www.worldcat.org/oclc/79975","WorldCat Record")</f>
        <v/>
      </c>
      <c r="AW357" t="inlineStr">
        <is>
          <t>1259375:eng</t>
        </is>
      </c>
      <c r="AX357" t="inlineStr">
        <is>
          <t>79975</t>
        </is>
      </c>
      <c r="AY357" t="inlineStr">
        <is>
          <t>991000489729702656</t>
        </is>
      </c>
      <c r="AZ357" t="inlineStr">
        <is>
          <t>991000489729702656</t>
        </is>
      </c>
      <c r="BA357" t="inlineStr">
        <is>
          <t>2258047740002656</t>
        </is>
      </c>
      <c r="BB357" t="inlineStr">
        <is>
          <t>BOOK</t>
        </is>
      </c>
      <c r="BE357" t="inlineStr">
        <is>
          <t>32285000321611</t>
        </is>
      </c>
      <c r="BF357" t="inlineStr">
        <is>
          <t>893884433</t>
        </is>
      </c>
    </row>
    <row r="358">
      <c r="A358" t="inlineStr">
        <is>
          <t>No</t>
        </is>
      </c>
      <c r="B358" t="inlineStr">
        <is>
          <t>CURAL</t>
        </is>
      </c>
      <c r="C358" t="inlineStr">
        <is>
          <t>SHELVES</t>
        </is>
      </c>
      <c r="D358" t="inlineStr">
        <is>
          <t>BL51 .T44</t>
        </is>
      </c>
      <c r="E358" t="inlineStr">
        <is>
          <t>0                      BL 0051000T  44</t>
        </is>
      </c>
      <c r="F358" t="inlineStr">
        <is>
          <t>Religious philosophies of the West [by] George F. Thomas.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Thomas, George F. (George Finger), 1899-1977.</t>
        </is>
      </c>
      <c r="N358" t="inlineStr">
        <is>
          <t>New York, Scribner [1965]</t>
        </is>
      </c>
      <c r="O358" t="inlineStr">
        <is>
          <t>1965</t>
        </is>
      </c>
      <c r="Q358" t="inlineStr">
        <is>
          <t>eng</t>
        </is>
      </c>
      <c r="R358" t="inlineStr">
        <is>
          <t>nyu</t>
        </is>
      </c>
      <c r="T358" t="inlineStr">
        <is>
          <t xml:space="preserve">BL </t>
        </is>
      </c>
      <c r="U358" t="n">
        <v>4</v>
      </c>
      <c r="V358" t="n">
        <v>4</v>
      </c>
      <c r="W358" t="inlineStr">
        <is>
          <t>2009-04-27</t>
        </is>
      </c>
      <c r="X358" t="inlineStr">
        <is>
          <t>2009-04-27</t>
        </is>
      </c>
      <c r="Y358" t="inlineStr">
        <is>
          <t>1990-09-26</t>
        </is>
      </c>
      <c r="Z358" t="inlineStr">
        <is>
          <t>1990-09-26</t>
        </is>
      </c>
      <c r="AA358" t="n">
        <v>1004</v>
      </c>
      <c r="AB358" t="n">
        <v>919</v>
      </c>
      <c r="AC358" t="n">
        <v>928</v>
      </c>
      <c r="AD358" t="n">
        <v>6</v>
      </c>
      <c r="AE358" t="n">
        <v>6</v>
      </c>
      <c r="AF358" t="n">
        <v>33</v>
      </c>
      <c r="AG358" t="n">
        <v>33</v>
      </c>
      <c r="AH358" t="n">
        <v>10</v>
      </c>
      <c r="AI358" t="n">
        <v>10</v>
      </c>
      <c r="AJ358" t="n">
        <v>6</v>
      </c>
      <c r="AK358" t="n">
        <v>6</v>
      </c>
      <c r="AL358" t="n">
        <v>19</v>
      </c>
      <c r="AM358" t="n">
        <v>19</v>
      </c>
      <c r="AN358" t="n">
        <v>5</v>
      </c>
      <c r="AO358" t="n">
        <v>5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HYPERLINK("http://catalog.hathitrust.org/Record/001391366","HathiTrust Record")</f>
        <v/>
      </c>
      <c r="AU358">
        <f>HYPERLINK("https://creighton-primo.hosted.exlibrisgroup.com/primo-explore/search?tab=default_tab&amp;search_scope=EVERYTHING&amp;vid=01CRU&amp;lang=en_US&amp;offset=0&amp;query=any,contains,991002257769702656","Catalog Record")</f>
        <v/>
      </c>
      <c r="AV358">
        <f>HYPERLINK("http://www.worldcat.org/oclc/302466","WorldCat Record")</f>
        <v/>
      </c>
      <c r="AW358" t="inlineStr">
        <is>
          <t>1347080:eng</t>
        </is>
      </c>
      <c r="AX358" t="inlineStr">
        <is>
          <t>302466</t>
        </is>
      </c>
      <c r="AY358" t="inlineStr">
        <is>
          <t>991002257769702656</t>
        </is>
      </c>
      <c r="AZ358" t="inlineStr">
        <is>
          <t>991002257769702656</t>
        </is>
      </c>
      <c r="BA358" t="inlineStr">
        <is>
          <t>2271917920002656</t>
        </is>
      </c>
      <c r="BB358" t="inlineStr">
        <is>
          <t>BOOK</t>
        </is>
      </c>
      <c r="BE358" t="inlineStr">
        <is>
          <t>32285000321629</t>
        </is>
      </c>
      <c r="BF358" t="inlineStr">
        <is>
          <t>893244951</t>
        </is>
      </c>
    </row>
    <row r="359">
      <c r="A359" t="inlineStr">
        <is>
          <t>No</t>
        </is>
      </c>
      <c r="B359" t="inlineStr">
        <is>
          <t>CURAL</t>
        </is>
      </c>
      <c r="C359" t="inlineStr">
        <is>
          <t>SHELVES</t>
        </is>
      </c>
      <c r="D359" t="inlineStr">
        <is>
          <t>BL51 .T58</t>
        </is>
      </c>
      <c r="E359" t="inlineStr">
        <is>
          <t>0                      BL 0051000T  58</t>
        </is>
      </c>
      <c r="F359" t="inlineStr">
        <is>
          <t>What is religion? Edited and with an introd. by James Luther Adams.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Tillich, Paul, 1886-1965.</t>
        </is>
      </c>
      <c r="N359" t="inlineStr">
        <is>
          <t>New York, Harper &amp; Row [1969]</t>
        </is>
      </c>
      <c r="O359" t="inlineStr">
        <is>
          <t>1969</t>
        </is>
      </c>
      <c r="P359" t="inlineStr">
        <is>
          <t>[1st ed.]</t>
        </is>
      </c>
      <c r="Q359" t="inlineStr">
        <is>
          <t>eng</t>
        </is>
      </c>
      <c r="R359" t="inlineStr">
        <is>
          <t>nyu</t>
        </is>
      </c>
      <c r="T359" t="inlineStr">
        <is>
          <t xml:space="preserve">BL </t>
        </is>
      </c>
      <c r="U359" t="n">
        <v>2</v>
      </c>
      <c r="V359" t="n">
        <v>2</v>
      </c>
      <c r="W359" t="inlineStr">
        <is>
          <t>1993-06-30</t>
        </is>
      </c>
      <c r="X359" t="inlineStr">
        <is>
          <t>1993-06-30</t>
        </is>
      </c>
      <c r="Y359" t="inlineStr">
        <is>
          <t>1990-09-26</t>
        </is>
      </c>
      <c r="Z359" t="inlineStr">
        <is>
          <t>1990-09-26</t>
        </is>
      </c>
      <c r="AA359" t="n">
        <v>984</v>
      </c>
      <c r="AB359" t="n">
        <v>871</v>
      </c>
      <c r="AC359" t="n">
        <v>996</v>
      </c>
      <c r="AD359" t="n">
        <v>8</v>
      </c>
      <c r="AE359" t="n">
        <v>8</v>
      </c>
      <c r="AF359" t="n">
        <v>36</v>
      </c>
      <c r="AG359" t="n">
        <v>40</v>
      </c>
      <c r="AH359" t="n">
        <v>15</v>
      </c>
      <c r="AI359" t="n">
        <v>17</v>
      </c>
      <c r="AJ359" t="n">
        <v>8</v>
      </c>
      <c r="AK359" t="n">
        <v>8</v>
      </c>
      <c r="AL359" t="n">
        <v>19</v>
      </c>
      <c r="AM359" t="n">
        <v>22</v>
      </c>
      <c r="AN359" t="n">
        <v>4</v>
      </c>
      <c r="AO359" t="n">
        <v>4</v>
      </c>
      <c r="AP359" t="n">
        <v>0</v>
      </c>
      <c r="AQ359" t="n">
        <v>0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HYPERLINK("http://catalog.hathitrust.org/Record/001391368","HathiTrust Record")</f>
        <v/>
      </c>
      <c r="AU359">
        <f>HYPERLINK("https://creighton-primo.hosted.exlibrisgroup.com/primo-explore/search?tab=default_tab&amp;search_scope=EVERYTHING&amp;vid=01CRU&amp;lang=en_US&amp;offset=0&amp;query=any,contains,991000004449702656","Catalog Record")</f>
        <v/>
      </c>
      <c r="AV359">
        <f>HYPERLINK("http://www.worldcat.org/oclc/12665","WorldCat Record")</f>
        <v/>
      </c>
      <c r="AW359" t="inlineStr">
        <is>
          <t>404107:eng</t>
        </is>
      </c>
      <c r="AX359" t="inlineStr">
        <is>
          <t>12665</t>
        </is>
      </c>
      <c r="AY359" t="inlineStr">
        <is>
          <t>991000004449702656</t>
        </is>
      </c>
      <c r="AZ359" t="inlineStr">
        <is>
          <t>991000004449702656</t>
        </is>
      </c>
      <c r="BA359" t="inlineStr">
        <is>
          <t>2264973650002656</t>
        </is>
      </c>
      <c r="BB359" t="inlineStr">
        <is>
          <t>BOOK</t>
        </is>
      </c>
      <c r="BE359" t="inlineStr">
        <is>
          <t>32285000321637</t>
        </is>
      </c>
      <c r="BF359" t="inlineStr">
        <is>
          <t>893333112</t>
        </is>
      </c>
    </row>
    <row r="360">
      <c r="A360" t="inlineStr">
        <is>
          <t>No</t>
        </is>
      </c>
      <c r="B360" t="inlineStr">
        <is>
          <t>CURAL</t>
        </is>
      </c>
      <c r="C360" t="inlineStr">
        <is>
          <t>SHELVES</t>
        </is>
      </c>
      <c r="D360" t="inlineStr">
        <is>
          <t>BL51 .T62</t>
        </is>
      </c>
      <c r="E360" t="inlineStr">
        <is>
          <t>0                      BL 0051000T  62</t>
        </is>
      </c>
      <c r="F360" t="inlineStr">
        <is>
          <t>Transcendence and the sacred / edited by Alan M. Olson and Leroy S. Rouner.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Notre Dame, Ind. : University of Notre Dame Press, c1981.</t>
        </is>
      </c>
      <c r="O360" t="inlineStr">
        <is>
          <t>1981</t>
        </is>
      </c>
      <c r="Q360" t="inlineStr">
        <is>
          <t>eng</t>
        </is>
      </c>
      <c r="R360" t="inlineStr">
        <is>
          <t>inu</t>
        </is>
      </c>
      <c r="S360" t="inlineStr">
        <is>
          <t>Boston studies in philosophy and religion ; v. 2</t>
        </is>
      </c>
      <c r="T360" t="inlineStr">
        <is>
          <t xml:space="preserve">BL </t>
        </is>
      </c>
      <c r="U360" t="n">
        <v>1</v>
      </c>
      <c r="V360" t="n">
        <v>1</v>
      </c>
      <c r="W360" t="inlineStr">
        <is>
          <t>2004-03-28</t>
        </is>
      </c>
      <c r="X360" t="inlineStr">
        <is>
          <t>2004-03-28</t>
        </is>
      </c>
      <c r="Y360" t="inlineStr">
        <is>
          <t>1990-09-26</t>
        </is>
      </c>
      <c r="Z360" t="inlineStr">
        <is>
          <t>1990-09-26</t>
        </is>
      </c>
      <c r="AA360" t="n">
        <v>683</v>
      </c>
      <c r="AB360" t="n">
        <v>597</v>
      </c>
      <c r="AC360" t="n">
        <v>598</v>
      </c>
      <c r="AD360" t="n">
        <v>4</v>
      </c>
      <c r="AE360" t="n">
        <v>4</v>
      </c>
      <c r="AF360" t="n">
        <v>34</v>
      </c>
      <c r="AG360" t="n">
        <v>34</v>
      </c>
      <c r="AH360" t="n">
        <v>11</v>
      </c>
      <c r="AI360" t="n">
        <v>11</v>
      </c>
      <c r="AJ360" t="n">
        <v>8</v>
      </c>
      <c r="AK360" t="n">
        <v>8</v>
      </c>
      <c r="AL360" t="n">
        <v>21</v>
      </c>
      <c r="AM360" t="n">
        <v>21</v>
      </c>
      <c r="AN360" t="n">
        <v>3</v>
      </c>
      <c r="AO360" t="n">
        <v>3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HYPERLINK("http://catalog.hathitrust.org/Record/000556103","HathiTrust Record")</f>
        <v/>
      </c>
      <c r="AU360">
        <f>HYPERLINK("https://creighton-primo.hosted.exlibrisgroup.com/primo-explore/search?tab=default_tab&amp;search_scope=EVERYTHING&amp;vid=01CRU&amp;lang=en_US&amp;offset=0&amp;query=any,contains,991005160349702656","Catalog Record")</f>
        <v/>
      </c>
      <c r="AV360">
        <f>HYPERLINK("http://www.worldcat.org/oclc/7775648","WorldCat Record")</f>
        <v/>
      </c>
      <c r="AW360" t="inlineStr">
        <is>
          <t>5218969305:eng</t>
        </is>
      </c>
      <c r="AX360" t="inlineStr">
        <is>
          <t>7775648</t>
        </is>
      </c>
      <c r="AY360" t="inlineStr">
        <is>
          <t>991005160349702656</t>
        </is>
      </c>
      <c r="AZ360" t="inlineStr">
        <is>
          <t>991005160349702656</t>
        </is>
      </c>
      <c r="BA360" t="inlineStr">
        <is>
          <t>2270128500002656</t>
        </is>
      </c>
      <c r="BB360" t="inlineStr">
        <is>
          <t>BOOK</t>
        </is>
      </c>
      <c r="BD360" t="inlineStr">
        <is>
          <t>9780268018412</t>
        </is>
      </c>
      <c r="BE360" t="inlineStr">
        <is>
          <t>32285000321645</t>
        </is>
      </c>
      <c r="BF360" t="inlineStr">
        <is>
          <t>893350835</t>
        </is>
      </c>
    </row>
    <row r="361">
      <c r="A361" t="inlineStr">
        <is>
          <t>No</t>
        </is>
      </c>
      <c r="B361" t="inlineStr">
        <is>
          <t>CURAL</t>
        </is>
      </c>
      <c r="C361" t="inlineStr">
        <is>
          <t>SHELVES</t>
        </is>
      </c>
      <c r="D361" t="inlineStr">
        <is>
          <t>BL51 .T79</t>
        </is>
      </c>
      <c r="E361" t="inlineStr">
        <is>
          <t>0                      BL 0051000T  79</t>
        </is>
      </c>
      <c r="F361" t="inlineStr">
        <is>
          <t>Philosophy of religion.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M361" t="inlineStr">
        <is>
          <t>Trueblood, Elton, 1900-1994.</t>
        </is>
      </c>
      <c r="N361" t="inlineStr">
        <is>
          <t>New York, Harper [1957]</t>
        </is>
      </c>
      <c r="O361" t="inlineStr">
        <is>
          <t>1957</t>
        </is>
      </c>
      <c r="P361" t="inlineStr">
        <is>
          <t>[1st ed.]</t>
        </is>
      </c>
      <c r="Q361" t="inlineStr">
        <is>
          <t>eng</t>
        </is>
      </c>
      <c r="R361" t="inlineStr">
        <is>
          <t>nyu</t>
        </is>
      </c>
      <c r="T361" t="inlineStr">
        <is>
          <t xml:space="preserve">BL </t>
        </is>
      </c>
      <c r="U361" t="n">
        <v>2</v>
      </c>
      <c r="V361" t="n">
        <v>2</v>
      </c>
      <c r="W361" t="inlineStr">
        <is>
          <t>2009-04-27</t>
        </is>
      </c>
      <c r="X361" t="inlineStr">
        <is>
          <t>2009-04-27</t>
        </is>
      </c>
      <c r="Y361" t="inlineStr">
        <is>
          <t>1990-09-26</t>
        </is>
      </c>
      <c r="Z361" t="inlineStr">
        <is>
          <t>1990-09-26</t>
        </is>
      </c>
      <c r="AA361" t="n">
        <v>1120</v>
      </c>
      <c r="AB361" t="n">
        <v>1024</v>
      </c>
      <c r="AC361" t="n">
        <v>1137</v>
      </c>
      <c r="AD361" t="n">
        <v>8</v>
      </c>
      <c r="AE361" t="n">
        <v>9</v>
      </c>
      <c r="AF361" t="n">
        <v>34</v>
      </c>
      <c r="AG361" t="n">
        <v>37</v>
      </c>
      <c r="AH361" t="n">
        <v>16</v>
      </c>
      <c r="AI361" t="n">
        <v>18</v>
      </c>
      <c r="AJ361" t="n">
        <v>4</v>
      </c>
      <c r="AK361" t="n">
        <v>6</v>
      </c>
      <c r="AL361" t="n">
        <v>14</v>
      </c>
      <c r="AM361" t="n">
        <v>16</v>
      </c>
      <c r="AN361" t="n">
        <v>5</v>
      </c>
      <c r="AO361" t="n">
        <v>5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HYPERLINK("http://catalog.hathitrust.org/Record/001391372","HathiTrust Record")</f>
        <v/>
      </c>
      <c r="AU361">
        <f>HYPERLINK("https://creighton-primo.hosted.exlibrisgroup.com/primo-explore/search?tab=default_tab&amp;search_scope=EVERYTHING&amp;vid=01CRU&amp;lang=en_US&amp;offset=0&amp;query=any,contains,991002328819702656","Catalog Record")</f>
        <v/>
      </c>
      <c r="AV361">
        <f>HYPERLINK("http://www.worldcat.org/oclc/321835","WorldCat Record")</f>
        <v/>
      </c>
      <c r="AW361" t="inlineStr">
        <is>
          <t>501503:eng</t>
        </is>
      </c>
      <c r="AX361" t="inlineStr">
        <is>
          <t>321835</t>
        </is>
      </c>
      <c r="AY361" t="inlineStr">
        <is>
          <t>991002328819702656</t>
        </is>
      </c>
      <c r="AZ361" t="inlineStr">
        <is>
          <t>991002328819702656</t>
        </is>
      </c>
      <c r="BA361" t="inlineStr">
        <is>
          <t>2257052400002656</t>
        </is>
      </c>
      <c r="BB361" t="inlineStr">
        <is>
          <t>BOOK</t>
        </is>
      </c>
      <c r="BE361" t="inlineStr">
        <is>
          <t>32285000321652</t>
        </is>
      </c>
      <c r="BF361" t="inlineStr">
        <is>
          <t>893703944</t>
        </is>
      </c>
    </row>
    <row r="362">
      <c r="A362" t="inlineStr">
        <is>
          <t>No</t>
        </is>
      </c>
      <c r="B362" t="inlineStr">
        <is>
          <t>CURAL</t>
        </is>
      </c>
      <c r="C362" t="inlineStr">
        <is>
          <t>SHELVES</t>
        </is>
      </c>
      <c r="D362" t="inlineStr">
        <is>
          <t>BL51 .W53</t>
        </is>
      </c>
      <c r="E362" t="inlineStr">
        <is>
          <t>0                      BL 0051000W  53</t>
        </is>
      </c>
      <c r="F362" t="inlineStr">
        <is>
          <t>Matters of faith and matters of principle : religious truth claims and their logic / John H. Whittaker.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M362" t="inlineStr">
        <is>
          <t>Whittaker, John H., 1945-</t>
        </is>
      </c>
      <c r="N362" t="inlineStr">
        <is>
          <t>San Antonio : Trinity University Press, c1981.</t>
        </is>
      </c>
      <c r="O362" t="inlineStr">
        <is>
          <t>1981</t>
        </is>
      </c>
      <c r="Q362" t="inlineStr">
        <is>
          <t>eng</t>
        </is>
      </c>
      <c r="R362" t="inlineStr">
        <is>
          <t>txu</t>
        </is>
      </c>
      <c r="S362" t="inlineStr">
        <is>
          <t>Trinity University monograph series in religion ; v. 6</t>
        </is>
      </c>
      <c r="T362" t="inlineStr">
        <is>
          <t xml:space="preserve">BL </t>
        </is>
      </c>
      <c r="U362" t="n">
        <v>1</v>
      </c>
      <c r="V362" t="n">
        <v>1</v>
      </c>
      <c r="W362" t="inlineStr">
        <is>
          <t>2002-10-21</t>
        </is>
      </c>
      <c r="X362" t="inlineStr">
        <is>
          <t>2002-10-21</t>
        </is>
      </c>
      <c r="Y362" t="inlineStr">
        <is>
          <t>1990-09-26</t>
        </is>
      </c>
      <c r="Z362" t="inlineStr">
        <is>
          <t>1990-09-26</t>
        </is>
      </c>
      <c r="AA362" t="n">
        <v>342</v>
      </c>
      <c r="AB362" t="n">
        <v>291</v>
      </c>
      <c r="AC362" t="n">
        <v>292</v>
      </c>
      <c r="AD362" t="n">
        <v>3</v>
      </c>
      <c r="AE362" t="n">
        <v>3</v>
      </c>
      <c r="AF362" t="n">
        <v>20</v>
      </c>
      <c r="AG362" t="n">
        <v>20</v>
      </c>
      <c r="AH362" t="n">
        <v>7</v>
      </c>
      <c r="AI362" t="n">
        <v>7</v>
      </c>
      <c r="AJ362" t="n">
        <v>4</v>
      </c>
      <c r="AK362" t="n">
        <v>4</v>
      </c>
      <c r="AL362" t="n">
        <v>15</v>
      </c>
      <c r="AM362" t="n">
        <v>15</v>
      </c>
      <c r="AN362" t="n">
        <v>2</v>
      </c>
      <c r="AO362" t="n">
        <v>2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HYPERLINK("http://catalog.hathitrust.org/Record/000265677","HathiTrust Record")</f>
        <v/>
      </c>
      <c r="AU362">
        <f>HYPERLINK("https://creighton-primo.hosted.exlibrisgroup.com/primo-explore/search?tab=default_tab&amp;search_scope=EVERYTHING&amp;vid=01CRU&amp;lang=en_US&amp;offset=0&amp;query=any,contains,991005130019702656","Catalog Record")</f>
        <v/>
      </c>
      <c r="AV362">
        <f>HYPERLINK("http://www.worldcat.org/oclc/7567293","WorldCat Record")</f>
        <v/>
      </c>
      <c r="AW362" t="inlineStr">
        <is>
          <t>889979056:eng</t>
        </is>
      </c>
      <c r="AX362" t="inlineStr">
        <is>
          <t>7567293</t>
        </is>
      </c>
      <c r="AY362" t="inlineStr">
        <is>
          <t>991005130019702656</t>
        </is>
      </c>
      <c r="AZ362" t="inlineStr">
        <is>
          <t>991005130019702656</t>
        </is>
      </c>
      <c r="BA362" t="inlineStr">
        <is>
          <t>2266276360002656</t>
        </is>
      </c>
      <c r="BB362" t="inlineStr">
        <is>
          <t>BOOK</t>
        </is>
      </c>
      <c r="BD362" t="inlineStr">
        <is>
          <t>9780911536874</t>
        </is>
      </c>
      <c r="BE362" t="inlineStr">
        <is>
          <t>32285000321702</t>
        </is>
      </c>
      <c r="BF362" t="inlineStr">
        <is>
          <t>893807866</t>
        </is>
      </c>
    </row>
    <row r="363">
      <c r="A363" t="inlineStr">
        <is>
          <t>No</t>
        </is>
      </c>
      <c r="B363" t="inlineStr">
        <is>
          <t>CURAL</t>
        </is>
      </c>
      <c r="C363" t="inlineStr">
        <is>
          <t>SHELVES</t>
        </is>
      </c>
      <c r="D363" t="inlineStr">
        <is>
          <t>BL51 .W54 1981</t>
        </is>
      </c>
      <c r="E363" t="inlineStr">
        <is>
          <t>0                      BL 0051000W  54          1981</t>
        </is>
      </c>
      <c r="F363" t="inlineStr">
        <is>
          <t>Religion and truth : towards an alternative paradigm for the study of religion / Donald Wiebe.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Wiebe, Donald, 1943-</t>
        </is>
      </c>
      <c r="N363" t="inlineStr">
        <is>
          <t>The Hague ; New York : Mouton, c1981.</t>
        </is>
      </c>
      <c r="O363" t="inlineStr">
        <is>
          <t>1981</t>
        </is>
      </c>
      <c r="Q363" t="inlineStr">
        <is>
          <t>eng</t>
        </is>
      </c>
      <c r="R363" t="inlineStr">
        <is>
          <t xml:space="preserve">ne </t>
        </is>
      </c>
      <c r="S363" t="inlineStr">
        <is>
          <t>Religion and reason ; 23</t>
        </is>
      </c>
      <c r="T363" t="inlineStr">
        <is>
          <t xml:space="preserve">BL </t>
        </is>
      </c>
      <c r="U363" t="n">
        <v>1</v>
      </c>
      <c r="V363" t="n">
        <v>1</v>
      </c>
      <c r="W363" t="inlineStr">
        <is>
          <t>2009-04-27</t>
        </is>
      </c>
      <c r="X363" t="inlineStr">
        <is>
          <t>2009-04-27</t>
        </is>
      </c>
      <c r="Y363" t="inlineStr">
        <is>
          <t>1990-09-26</t>
        </is>
      </c>
      <c r="Z363" t="inlineStr">
        <is>
          <t>1990-09-26</t>
        </is>
      </c>
      <c r="AA363" t="n">
        <v>340</v>
      </c>
      <c r="AB363" t="n">
        <v>228</v>
      </c>
      <c r="AC363" t="n">
        <v>242</v>
      </c>
      <c r="AD363" t="n">
        <v>2</v>
      </c>
      <c r="AE363" t="n">
        <v>2</v>
      </c>
      <c r="AF363" t="n">
        <v>14</v>
      </c>
      <c r="AG363" t="n">
        <v>14</v>
      </c>
      <c r="AH363" t="n">
        <v>2</v>
      </c>
      <c r="AI363" t="n">
        <v>2</v>
      </c>
      <c r="AJ363" t="n">
        <v>5</v>
      </c>
      <c r="AK363" t="n">
        <v>5</v>
      </c>
      <c r="AL363" t="n">
        <v>12</v>
      </c>
      <c r="AM363" t="n">
        <v>12</v>
      </c>
      <c r="AN363" t="n">
        <v>1</v>
      </c>
      <c r="AO363" t="n">
        <v>1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HYPERLINK("http://catalog.hathitrust.org/Record/101870474","HathiTrust Record")</f>
        <v/>
      </c>
      <c r="AU363">
        <f>HYPERLINK("https://creighton-primo.hosted.exlibrisgroup.com/primo-explore/search?tab=default_tab&amp;search_scope=EVERYTHING&amp;vid=01CRU&amp;lang=en_US&amp;offset=0&amp;query=any,contains,991005209549702656","Catalog Record")</f>
        <v/>
      </c>
      <c r="AV363">
        <f>HYPERLINK("http://www.worldcat.org/oclc/8151502","WorldCat Record")</f>
        <v/>
      </c>
      <c r="AW363" t="inlineStr">
        <is>
          <t>807217513:eng</t>
        </is>
      </c>
      <c r="AX363" t="inlineStr">
        <is>
          <t>8151502</t>
        </is>
      </c>
      <c r="AY363" t="inlineStr">
        <is>
          <t>991005209549702656</t>
        </is>
      </c>
      <c r="AZ363" t="inlineStr">
        <is>
          <t>991005209549702656</t>
        </is>
      </c>
      <c r="BA363" t="inlineStr">
        <is>
          <t>2268897240002656</t>
        </is>
      </c>
      <c r="BB363" t="inlineStr">
        <is>
          <t>BOOK</t>
        </is>
      </c>
      <c r="BD363" t="inlineStr">
        <is>
          <t>9789027931498</t>
        </is>
      </c>
      <c r="BE363" t="inlineStr">
        <is>
          <t>32285000321710</t>
        </is>
      </c>
      <c r="BF363" t="inlineStr">
        <is>
          <t>893870699</t>
        </is>
      </c>
    </row>
    <row r="364">
      <c r="A364" t="inlineStr">
        <is>
          <t>No</t>
        </is>
      </c>
      <c r="B364" t="inlineStr">
        <is>
          <t>CURAL</t>
        </is>
      </c>
      <c r="C364" t="inlineStr">
        <is>
          <t>SHELVES</t>
        </is>
      </c>
      <c r="D364" t="inlineStr">
        <is>
          <t>BL51 .W58 1971</t>
        </is>
      </c>
      <c r="E364" t="inlineStr">
        <is>
          <t>0                      BL 0051000W  58          1971</t>
        </is>
      </c>
      <c r="F364" t="inlineStr">
        <is>
          <t>Religious experience and scientific method.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Wieman, Henry Nelson, 1884-1975.</t>
        </is>
      </c>
      <c r="N364" t="inlineStr">
        <is>
          <t>Carbondale, Southern Illinois University Press [1971, c1954]</t>
        </is>
      </c>
      <c r="O364" t="inlineStr">
        <is>
          <t>1971</t>
        </is>
      </c>
      <c r="Q364" t="inlineStr">
        <is>
          <t>eng</t>
        </is>
      </c>
      <c r="R364" t="inlineStr">
        <is>
          <t>___</t>
        </is>
      </c>
      <c r="T364" t="inlineStr">
        <is>
          <t xml:space="preserve">BL </t>
        </is>
      </c>
      <c r="U364" t="n">
        <v>4</v>
      </c>
      <c r="V364" t="n">
        <v>4</v>
      </c>
      <c r="W364" t="inlineStr">
        <is>
          <t>1997-03-03</t>
        </is>
      </c>
      <c r="X364" t="inlineStr">
        <is>
          <t>1997-03-03</t>
        </is>
      </c>
      <c r="Y364" t="inlineStr">
        <is>
          <t>1990-09-26</t>
        </is>
      </c>
      <c r="Z364" t="inlineStr">
        <is>
          <t>1990-09-26</t>
        </is>
      </c>
      <c r="AA364" t="n">
        <v>130</v>
      </c>
      <c r="AB364" t="n">
        <v>118</v>
      </c>
      <c r="AC364" t="n">
        <v>573</v>
      </c>
      <c r="AD364" t="n">
        <v>2</v>
      </c>
      <c r="AE364" t="n">
        <v>3</v>
      </c>
      <c r="AF364" t="n">
        <v>8</v>
      </c>
      <c r="AG364" t="n">
        <v>26</v>
      </c>
      <c r="AH364" t="n">
        <v>4</v>
      </c>
      <c r="AI364" t="n">
        <v>10</v>
      </c>
      <c r="AJ364" t="n">
        <v>2</v>
      </c>
      <c r="AK364" t="n">
        <v>7</v>
      </c>
      <c r="AL364" t="n">
        <v>5</v>
      </c>
      <c r="AM364" t="n">
        <v>17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HYPERLINK("http://catalog.hathitrust.org/Record/007040628","HathiTrust Record")</f>
        <v/>
      </c>
      <c r="AU364">
        <f>HYPERLINK("https://creighton-primo.hosted.exlibrisgroup.com/primo-explore/search?tab=default_tab&amp;search_scope=EVERYTHING&amp;vid=01CRU&amp;lang=en_US&amp;offset=0&amp;query=any,contains,991003137879702656","Catalog Record")</f>
        <v/>
      </c>
      <c r="AV364">
        <f>HYPERLINK("http://www.worldcat.org/oclc/8663878","WorldCat Record")</f>
        <v/>
      </c>
      <c r="AW364" t="inlineStr">
        <is>
          <t>1324791:eng</t>
        </is>
      </c>
      <c r="AX364" t="inlineStr">
        <is>
          <t>8663878</t>
        </is>
      </c>
      <c r="AY364" t="inlineStr">
        <is>
          <t>991003137879702656</t>
        </is>
      </c>
      <c r="AZ364" t="inlineStr">
        <is>
          <t>991003137879702656</t>
        </is>
      </c>
      <c r="BA364" t="inlineStr">
        <is>
          <t>2269844870002656</t>
        </is>
      </c>
      <c r="BB364" t="inlineStr">
        <is>
          <t>BOOK</t>
        </is>
      </c>
      <c r="BD364" t="inlineStr">
        <is>
          <t>9780837143682</t>
        </is>
      </c>
      <c r="BE364" t="inlineStr">
        <is>
          <t>32285000321728</t>
        </is>
      </c>
      <c r="BF364" t="inlineStr">
        <is>
          <t>893524451</t>
        </is>
      </c>
    </row>
    <row r="365">
      <c r="A365" t="inlineStr">
        <is>
          <t>No</t>
        </is>
      </c>
      <c r="B365" t="inlineStr">
        <is>
          <t>CURAL</t>
        </is>
      </c>
      <c r="C365" t="inlineStr">
        <is>
          <t>SHELVES</t>
        </is>
      </c>
      <c r="D365" t="inlineStr">
        <is>
          <t>BL51 .Z8</t>
        </is>
      </c>
      <c r="E365" t="inlineStr">
        <is>
          <t>0                      BL 0051000Z  8</t>
        </is>
      </c>
      <c r="F365" t="inlineStr">
        <is>
          <t>An analytical philosophy of religion.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Zuurdeeg, Willem Frederick.</t>
        </is>
      </c>
      <c r="N365" t="inlineStr">
        <is>
          <t>New York, Abingdon Press [1958]</t>
        </is>
      </c>
      <c r="O365" t="inlineStr">
        <is>
          <t>1958</t>
        </is>
      </c>
      <c r="Q365" t="inlineStr">
        <is>
          <t>eng</t>
        </is>
      </c>
      <c r="R365" t="inlineStr">
        <is>
          <t>___</t>
        </is>
      </c>
      <c r="T365" t="inlineStr">
        <is>
          <t xml:space="preserve">BL </t>
        </is>
      </c>
      <c r="U365" t="n">
        <v>2</v>
      </c>
      <c r="V365" t="n">
        <v>2</v>
      </c>
      <c r="W365" t="inlineStr">
        <is>
          <t>2009-04-27</t>
        </is>
      </c>
      <c r="X365" t="inlineStr">
        <is>
          <t>2009-04-27</t>
        </is>
      </c>
      <c r="Y365" t="inlineStr">
        <is>
          <t>1990-09-26</t>
        </is>
      </c>
      <c r="Z365" t="inlineStr">
        <is>
          <t>1990-09-26</t>
        </is>
      </c>
      <c r="AA365" t="n">
        <v>582</v>
      </c>
      <c r="AB365" t="n">
        <v>526</v>
      </c>
      <c r="AC365" t="n">
        <v>828</v>
      </c>
      <c r="AD365" t="n">
        <v>5</v>
      </c>
      <c r="AE365" t="n">
        <v>8</v>
      </c>
      <c r="AF365" t="n">
        <v>16</v>
      </c>
      <c r="AG365" t="n">
        <v>32</v>
      </c>
      <c r="AH365" t="n">
        <v>6</v>
      </c>
      <c r="AI365" t="n">
        <v>12</v>
      </c>
      <c r="AJ365" t="n">
        <v>2</v>
      </c>
      <c r="AK365" t="n">
        <v>5</v>
      </c>
      <c r="AL365" t="n">
        <v>7</v>
      </c>
      <c r="AM365" t="n">
        <v>12</v>
      </c>
      <c r="AN365" t="n">
        <v>3</v>
      </c>
      <c r="AO365" t="n">
        <v>6</v>
      </c>
      <c r="AP365" t="n">
        <v>0</v>
      </c>
      <c r="AQ365" t="n">
        <v>1</v>
      </c>
      <c r="AR365" t="inlineStr">
        <is>
          <t>Yes</t>
        </is>
      </c>
      <c r="AS365" t="inlineStr">
        <is>
          <t>No</t>
        </is>
      </c>
      <c r="AT365">
        <f>HYPERLINK("http://catalog.hathitrust.org/Record/001958474","HathiTrust Record")</f>
        <v/>
      </c>
      <c r="AU365">
        <f>HYPERLINK("https://creighton-primo.hosted.exlibrisgroup.com/primo-explore/search?tab=default_tab&amp;search_scope=EVERYTHING&amp;vid=01CRU&amp;lang=en_US&amp;offset=0&amp;query=any,contains,991002575219702656","Catalog Record")</f>
        <v/>
      </c>
      <c r="AV365">
        <f>HYPERLINK("http://www.worldcat.org/oclc/374694","WorldCat Record")</f>
        <v/>
      </c>
      <c r="AW365" t="inlineStr">
        <is>
          <t>1460951:eng</t>
        </is>
      </c>
      <c r="AX365" t="inlineStr">
        <is>
          <t>374694</t>
        </is>
      </c>
      <c r="AY365" t="inlineStr">
        <is>
          <t>991002575219702656</t>
        </is>
      </c>
      <c r="AZ365" t="inlineStr">
        <is>
          <t>991002575219702656</t>
        </is>
      </c>
      <c r="BA365" t="inlineStr">
        <is>
          <t>2262288100002656</t>
        </is>
      </c>
      <c r="BB365" t="inlineStr">
        <is>
          <t>BOOK</t>
        </is>
      </c>
      <c r="BE365" t="inlineStr">
        <is>
          <t>32285000321751</t>
        </is>
      </c>
      <c r="BF365" t="inlineStr">
        <is>
          <t>893523789</t>
        </is>
      </c>
    </row>
    <row r="366">
      <c r="A366" t="inlineStr">
        <is>
          <t>No</t>
        </is>
      </c>
      <c r="B366" t="inlineStr">
        <is>
          <t>CURAL</t>
        </is>
      </c>
      <c r="C366" t="inlineStr">
        <is>
          <t>SHELVES</t>
        </is>
      </c>
      <c r="D366" t="inlineStr">
        <is>
          <t>BL51.H83 E8</t>
        </is>
      </c>
      <c r="E366" t="inlineStr">
        <is>
          <t>0                      BL 0051000H  83                 E  8</t>
        </is>
      </c>
      <c r="F366" t="inlineStr">
        <is>
          <t>Essays &amp; addresses on the philosophy of religion.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M366" t="inlineStr">
        <is>
          <t>Hügel, Friedrich, Freiherr von, 1852-1925.</t>
        </is>
      </c>
      <c r="N366" t="inlineStr">
        <is>
          <t>London &amp; Toronto, J. M. Dent &amp; sons limited; New York, E. P. Dutton &amp; co., 1921.</t>
        </is>
      </c>
      <c r="O366" t="inlineStr">
        <is>
          <t>1921</t>
        </is>
      </c>
      <c r="Q366" t="inlineStr">
        <is>
          <t>eng</t>
        </is>
      </c>
      <c r="R366" t="inlineStr">
        <is>
          <t xml:space="preserve">xx </t>
        </is>
      </c>
      <c r="T366" t="inlineStr">
        <is>
          <t xml:space="preserve">BL </t>
        </is>
      </c>
      <c r="U366" t="n">
        <v>6</v>
      </c>
      <c r="V366" t="n">
        <v>6</v>
      </c>
      <c r="W366" t="inlineStr">
        <is>
          <t>1997-12-09</t>
        </is>
      </c>
      <c r="X366" t="inlineStr">
        <is>
          <t>1997-12-09</t>
        </is>
      </c>
      <c r="Y366" t="inlineStr">
        <is>
          <t>1990-09-25</t>
        </is>
      </c>
      <c r="Z366" t="inlineStr">
        <is>
          <t>1990-09-25</t>
        </is>
      </c>
      <c r="AA366" t="n">
        <v>31</v>
      </c>
      <c r="AB366" t="n">
        <v>31</v>
      </c>
      <c r="AC366" t="n">
        <v>671</v>
      </c>
      <c r="AD366" t="n">
        <v>1</v>
      </c>
      <c r="AE366" t="n">
        <v>4</v>
      </c>
      <c r="AF366" t="n">
        <v>1</v>
      </c>
      <c r="AG366" t="n">
        <v>33</v>
      </c>
      <c r="AH366" t="n">
        <v>0</v>
      </c>
      <c r="AI366" t="n">
        <v>11</v>
      </c>
      <c r="AJ366" t="n">
        <v>0</v>
      </c>
      <c r="AK366" t="n">
        <v>10</v>
      </c>
      <c r="AL366" t="n">
        <v>1</v>
      </c>
      <c r="AM366" t="n">
        <v>22</v>
      </c>
      <c r="AN366" t="n">
        <v>0</v>
      </c>
      <c r="AO366" t="n">
        <v>2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HYPERLINK("https://creighton-primo.hosted.exlibrisgroup.com/primo-explore/search?tab=default_tab&amp;search_scope=EVERYTHING&amp;vid=01CRU&amp;lang=en_US&amp;offset=0&amp;query=any,contains,991004616379702656","Catalog Record")</f>
        <v/>
      </c>
      <c r="AV366">
        <f>HYPERLINK("http://www.worldcat.org/oclc/4260116","WorldCat Record")</f>
        <v/>
      </c>
      <c r="AW366" t="inlineStr">
        <is>
          <t>4714336135:eng</t>
        </is>
      </c>
      <c r="AX366" t="inlineStr">
        <is>
          <t>4260116</t>
        </is>
      </c>
      <c r="AY366" t="inlineStr">
        <is>
          <t>991004616379702656</t>
        </is>
      </c>
      <c r="AZ366" t="inlineStr">
        <is>
          <t>991004616379702656</t>
        </is>
      </c>
      <c r="BA366" t="inlineStr">
        <is>
          <t>2255805410002656</t>
        </is>
      </c>
      <c r="BB366" t="inlineStr">
        <is>
          <t>BOOK</t>
        </is>
      </c>
      <c r="BE366" t="inlineStr">
        <is>
          <t>32285000309905</t>
        </is>
      </c>
      <c r="BF366" t="inlineStr">
        <is>
          <t>893888954</t>
        </is>
      </c>
    </row>
    <row r="367">
      <c r="A367" t="inlineStr">
        <is>
          <t>No</t>
        </is>
      </c>
      <c r="B367" t="inlineStr">
        <is>
          <t>CURAL</t>
        </is>
      </c>
      <c r="C367" t="inlineStr">
        <is>
          <t>SHELVES</t>
        </is>
      </c>
      <c r="D367" t="inlineStr">
        <is>
          <t>BL510 .P3 1982</t>
        </is>
      </c>
      <c r="E367" t="inlineStr">
        <is>
          <t>0                      BL 0510000P  3           1982</t>
        </is>
      </c>
      <c r="F367" t="inlineStr">
        <is>
          <t>Avatar and incarnation : a comparison of Indian and Christian beliefs / by Geoffrey Parrinder.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M367" t="inlineStr">
        <is>
          <t>Parrinder, Geoffrey.</t>
        </is>
      </c>
      <c r="N367" t="inlineStr">
        <is>
          <t>New York : Oxford University Press, 1982.</t>
        </is>
      </c>
      <c r="O367" t="inlineStr">
        <is>
          <t>1982</t>
        </is>
      </c>
      <c r="Q367" t="inlineStr">
        <is>
          <t>eng</t>
        </is>
      </c>
      <c r="R367" t="inlineStr">
        <is>
          <t>nyu</t>
        </is>
      </c>
      <c r="T367" t="inlineStr">
        <is>
          <t xml:space="preserve">BL </t>
        </is>
      </c>
      <c r="U367" t="n">
        <v>4</v>
      </c>
      <c r="V367" t="n">
        <v>4</v>
      </c>
      <c r="W367" t="inlineStr">
        <is>
          <t>2000-11-04</t>
        </is>
      </c>
      <c r="X367" t="inlineStr">
        <is>
          <t>2000-11-04</t>
        </is>
      </c>
      <c r="Y367" t="inlineStr">
        <is>
          <t>1990-10-09</t>
        </is>
      </c>
      <c r="Z367" t="inlineStr">
        <is>
          <t>1990-10-09</t>
        </is>
      </c>
      <c r="AA367" t="n">
        <v>193</v>
      </c>
      <c r="AB367" t="n">
        <v>153</v>
      </c>
      <c r="AC367" t="n">
        <v>476</v>
      </c>
      <c r="AD367" t="n">
        <v>2</v>
      </c>
      <c r="AE367" t="n">
        <v>4</v>
      </c>
      <c r="AF367" t="n">
        <v>9</v>
      </c>
      <c r="AG367" t="n">
        <v>27</v>
      </c>
      <c r="AH367" t="n">
        <v>4</v>
      </c>
      <c r="AI367" t="n">
        <v>12</v>
      </c>
      <c r="AJ367" t="n">
        <v>4</v>
      </c>
      <c r="AK367" t="n">
        <v>5</v>
      </c>
      <c r="AL367" t="n">
        <v>5</v>
      </c>
      <c r="AM367" t="n">
        <v>14</v>
      </c>
      <c r="AN367" t="n">
        <v>1</v>
      </c>
      <c r="AO367" t="n">
        <v>3</v>
      </c>
      <c r="AP367" t="n">
        <v>0</v>
      </c>
      <c r="AQ367" t="n">
        <v>0</v>
      </c>
      <c r="AR367" t="inlineStr">
        <is>
          <t>No</t>
        </is>
      </c>
      <c r="AS367" t="inlineStr">
        <is>
          <t>No</t>
        </is>
      </c>
      <c r="AU367">
        <f>HYPERLINK("https://creighton-primo.hosted.exlibrisgroup.com/primo-explore/search?tab=default_tab&amp;search_scope=EVERYTHING&amp;vid=01CRU&amp;lang=en_US&amp;offset=0&amp;query=any,contains,991005191069702656","Catalog Record")</f>
        <v/>
      </c>
      <c r="AV367">
        <f>HYPERLINK("http://www.worldcat.org/oclc/7999053","WorldCat Record")</f>
        <v/>
      </c>
      <c r="AW367" t="inlineStr">
        <is>
          <t>415457:eng</t>
        </is>
      </c>
      <c r="AX367" t="inlineStr">
        <is>
          <t>7999053</t>
        </is>
      </c>
      <c r="AY367" t="inlineStr">
        <is>
          <t>991005191069702656</t>
        </is>
      </c>
      <c r="AZ367" t="inlineStr">
        <is>
          <t>991005191069702656</t>
        </is>
      </c>
      <c r="BA367" t="inlineStr">
        <is>
          <t>2258021600002656</t>
        </is>
      </c>
      <c r="BB367" t="inlineStr">
        <is>
          <t>BOOK</t>
        </is>
      </c>
      <c r="BD367" t="inlineStr">
        <is>
          <t>9780195203615</t>
        </is>
      </c>
      <c r="BE367" t="inlineStr">
        <is>
          <t>32285000345826</t>
        </is>
      </c>
      <c r="BF367" t="inlineStr">
        <is>
          <t>893350873</t>
        </is>
      </c>
    </row>
    <row r="368">
      <c r="A368" t="inlineStr">
        <is>
          <t>No</t>
        </is>
      </c>
      <c r="B368" t="inlineStr">
        <is>
          <t>CURAL</t>
        </is>
      </c>
      <c r="C368" t="inlineStr">
        <is>
          <t>SHELVES</t>
        </is>
      </c>
      <c r="D368" t="inlineStr">
        <is>
          <t>BL515 .C49</t>
        </is>
      </c>
      <c r="E368" t="inlineStr">
        <is>
          <t>0                      BL 0515000C  49</t>
        </is>
      </c>
      <c r="F368" t="inlineStr">
        <is>
          <t>Reincarnation : ancient beliefs and modern evidence / David Christie-Murray.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Christie-Murray, David.</t>
        </is>
      </c>
      <c r="N368" t="inlineStr">
        <is>
          <t>Newton Abbot : David and Charles, c1981.</t>
        </is>
      </c>
      <c r="O368" t="inlineStr">
        <is>
          <t>1981</t>
        </is>
      </c>
      <c r="Q368" t="inlineStr">
        <is>
          <t>eng</t>
        </is>
      </c>
      <c r="R368" t="inlineStr">
        <is>
          <t>enk</t>
        </is>
      </c>
      <c r="T368" t="inlineStr">
        <is>
          <t xml:space="preserve">BL </t>
        </is>
      </c>
      <c r="U368" t="n">
        <v>8</v>
      </c>
      <c r="V368" t="n">
        <v>8</v>
      </c>
      <c r="W368" t="inlineStr">
        <is>
          <t>2002-12-23</t>
        </is>
      </c>
      <c r="X368" t="inlineStr">
        <is>
          <t>2002-12-23</t>
        </is>
      </c>
      <c r="Y368" t="inlineStr">
        <is>
          <t>1990-03-13</t>
        </is>
      </c>
      <c r="Z368" t="inlineStr">
        <is>
          <t>1990-03-13</t>
        </is>
      </c>
      <c r="AA368" t="n">
        <v>422</v>
      </c>
      <c r="AB368" t="n">
        <v>340</v>
      </c>
      <c r="AC368" t="n">
        <v>411</v>
      </c>
      <c r="AD368" t="n">
        <v>2</v>
      </c>
      <c r="AE368" t="n">
        <v>3</v>
      </c>
      <c r="AF368" t="n">
        <v>7</v>
      </c>
      <c r="AG368" t="n">
        <v>8</v>
      </c>
      <c r="AH368" t="n">
        <v>4</v>
      </c>
      <c r="AI368" t="n">
        <v>4</v>
      </c>
      <c r="AJ368" t="n">
        <v>0</v>
      </c>
      <c r="AK368" t="n">
        <v>1</v>
      </c>
      <c r="AL368" t="n">
        <v>4</v>
      </c>
      <c r="AM368" t="n">
        <v>5</v>
      </c>
      <c r="AN368" t="n">
        <v>1</v>
      </c>
      <c r="AO368" t="n">
        <v>1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HYPERLINK("http://catalog.hathitrust.org/Record/000108087","HathiTrust Record")</f>
        <v/>
      </c>
      <c r="AU368">
        <f>HYPERLINK("https://creighton-primo.hosted.exlibrisgroup.com/primo-explore/search?tab=default_tab&amp;search_scope=EVERYTHING&amp;vid=01CRU&amp;lang=en_US&amp;offset=0&amp;query=any,contains,991005149859702656","Catalog Record")</f>
        <v/>
      </c>
      <c r="AV368">
        <f>HYPERLINK("http://www.worldcat.org/oclc/7719749","WorldCat Record")</f>
        <v/>
      </c>
      <c r="AW368" t="inlineStr">
        <is>
          <t>198271065:eng</t>
        </is>
      </c>
      <c r="AX368" t="inlineStr">
        <is>
          <t>7719749</t>
        </is>
      </c>
      <c r="AY368" t="inlineStr">
        <is>
          <t>991005149859702656</t>
        </is>
      </c>
      <c r="AZ368" t="inlineStr">
        <is>
          <t>991005149859702656</t>
        </is>
      </c>
      <c r="BA368" t="inlineStr">
        <is>
          <t>2271100080002656</t>
        </is>
      </c>
      <c r="BB368" t="inlineStr">
        <is>
          <t>BOOK</t>
        </is>
      </c>
      <c r="BD368" t="inlineStr">
        <is>
          <t>9780715378618</t>
        </is>
      </c>
      <c r="BE368" t="inlineStr">
        <is>
          <t>32285000085034</t>
        </is>
      </c>
      <c r="BF368" t="inlineStr">
        <is>
          <t>893437251</t>
        </is>
      </c>
    </row>
    <row r="369">
      <c r="A369" t="inlineStr">
        <is>
          <t>No</t>
        </is>
      </c>
      <c r="B369" t="inlineStr">
        <is>
          <t>CURAL</t>
        </is>
      </c>
      <c r="C369" t="inlineStr">
        <is>
          <t>SHELVES</t>
        </is>
      </c>
      <c r="D369" t="inlineStr">
        <is>
          <t>BL515 .R427 1984</t>
        </is>
      </c>
      <c r="E369" t="inlineStr">
        <is>
          <t>0                      BL 0515000R  427         1984</t>
        </is>
      </c>
      <c r="F369" t="inlineStr">
        <is>
          <t>Reincarnation : a new horizon in science, religion and society / [compiled] by Sylvia Cranston and Carey Williams.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New York : Julian Press, 1984.</t>
        </is>
      </c>
      <c r="O369" t="inlineStr">
        <is>
          <t>1984</t>
        </is>
      </c>
      <c r="Q369" t="inlineStr">
        <is>
          <t>eng</t>
        </is>
      </c>
      <c r="R369" t="inlineStr">
        <is>
          <t>nyu</t>
        </is>
      </c>
      <c r="T369" t="inlineStr">
        <is>
          <t xml:space="preserve">BL </t>
        </is>
      </c>
      <c r="U369" t="n">
        <v>7</v>
      </c>
      <c r="V369" t="n">
        <v>7</v>
      </c>
      <c r="W369" t="inlineStr">
        <is>
          <t>2000-11-28</t>
        </is>
      </c>
      <c r="X369" t="inlineStr">
        <is>
          <t>2000-11-28</t>
        </is>
      </c>
      <c r="Y369" t="inlineStr">
        <is>
          <t>1990-03-13</t>
        </is>
      </c>
      <c r="Z369" t="inlineStr">
        <is>
          <t>1990-03-13</t>
        </is>
      </c>
      <c r="AA369" t="n">
        <v>1876</v>
      </c>
      <c r="AB369" t="n">
        <v>1750</v>
      </c>
      <c r="AC369" t="n">
        <v>1824</v>
      </c>
      <c r="AD369" t="n">
        <v>13</v>
      </c>
      <c r="AE369" t="n">
        <v>14</v>
      </c>
      <c r="AF369" t="n">
        <v>41</v>
      </c>
      <c r="AG369" t="n">
        <v>44</v>
      </c>
      <c r="AH369" t="n">
        <v>16</v>
      </c>
      <c r="AI369" t="n">
        <v>18</v>
      </c>
      <c r="AJ369" t="n">
        <v>8</v>
      </c>
      <c r="AK369" t="n">
        <v>8</v>
      </c>
      <c r="AL369" t="n">
        <v>16</v>
      </c>
      <c r="AM369" t="n">
        <v>17</v>
      </c>
      <c r="AN369" t="n">
        <v>8</v>
      </c>
      <c r="AO369" t="n">
        <v>9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HYPERLINK("http://catalog.hathitrust.org/Record/000451187","HathiTrust Record")</f>
        <v/>
      </c>
      <c r="AU369">
        <f>HYPERLINK("https://creighton-primo.hosted.exlibrisgroup.com/primo-explore/search?tab=default_tab&amp;search_scope=EVERYTHING&amp;vid=01CRU&amp;lang=en_US&amp;offset=0&amp;query=any,contains,991000377879702656","Catalog Record")</f>
        <v/>
      </c>
      <c r="AV369">
        <f>HYPERLINK("http://www.worldcat.org/oclc/10483061","WorldCat Record")</f>
        <v/>
      </c>
      <c r="AW369" t="inlineStr">
        <is>
          <t>3132357242:eng</t>
        </is>
      </c>
      <c r="AX369" t="inlineStr">
        <is>
          <t>10483061</t>
        </is>
      </c>
      <c r="AY369" t="inlineStr">
        <is>
          <t>991000377879702656</t>
        </is>
      </c>
      <c r="AZ369" t="inlineStr">
        <is>
          <t>991000377879702656</t>
        </is>
      </c>
      <c r="BA369" t="inlineStr">
        <is>
          <t>2263451660002656</t>
        </is>
      </c>
      <c r="BB369" t="inlineStr">
        <is>
          <t>BOOK</t>
        </is>
      </c>
      <c r="BD369" t="inlineStr">
        <is>
          <t>9780517554968</t>
        </is>
      </c>
      <c r="BE369" t="inlineStr">
        <is>
          <t>32285000085042</t>
        </is>
      </c>
      <c r="BF369" t="inlineStr">
        <is>
          <t>893320991</t>
        </is>
      </c>
    </row>
    <row r="370">
      <c r="A370" t="inlineStr">
        <is>
          <t>No</t>
        </is>
      </c>
      <c r="B370" t="inlineStr">
        <is>
          <t>CURAL</t>
        </is>
      </c>
      <c r="C370" t="inlineStr">
        <is>
          <t>SHELVES</t>
        </is>
      </c>
      <c r="D370" t="inlineStr">
        <is>
          <t>BL515 .R43 1977</t>
        </is>
      </c>
      <c r="E370" t="inlineStr">
        <is>
          <t>0                      BL 0515000R  43          1977</t>
        </is>
      </c>
      <c r="F370" t="inlineStr">
        <is>
          <t>Reincarnation : the phoenix fire mystery : an East-West dialogue on death and rebirth from the worlds of religion, science, psychology, philosophy, art, and literature, and from great thinkers of the past and present / compiled and edited by Joseph Head and S. L. Cranston.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Yes</t>
        </is>
      </c>
      <c r="L370" t="inlineStr">
        <is>
          <t>0</t>
        </is>
      </c>
      <c r="N370" t="inlineStr">
        <is>
          <t>New York : Julian Press, c1977.</t>
        </is>
      </c>
      <c r="O370" t="inlineStr">
        <is>
          <t>1977</t>
        </is>
      </c>
      <c r="Q370" t="inlineStr">
        <is>
          <t>eng</t>
        </is>
      </c>
      <c r="R370" t="inlineStr">
        <is>
          <t>nyu</t>
        </is>
      </c>
      <c r="T370" t="inlineStr">
        <is>
          <t xml:space="preserve">BL </t>
        </is>
      </c>
      <c r="U370" t="n">
        <v>7</v>
      </c>
      <c r="V370" t="n">
        <v>7</v>
      </c>
      <c r="W370" t="inlineStr">
        <is>
          <t>2000-11-28</t>
        </is>
      </c>
      <c r="X370" t="inlineStr">
        <is>
          <t>2000-11-28</t>
        </is>
      </c>
      <c r="Y370" t="inlineStr">
        <is>
          <t>1990-05-01</t>
        </is>
      </c>
      <c r="Z370" t="inlineStr">
        <is>
          <t>1990-05-01</t>
        </is>
      </c>
      <c r="AA370" t="n">
        <v>1719</v>
      </c>
      <c r="AB370" t="n">
        <v>1597</v>
      </c>
      <c r="AC370" t="n">
        <v>1751</v>
      </c>
      <c r="AD370" t="n">
        <v>15</v>
      </c>
      <c r="AE370" t="n">
        <v>21</v>
      </c>
      <c r="AF370" t="n">
        <v>46</v>
      </c>
      <c r="AG370" t="n">
        <v>48</v>
      </c>
      <c r="AH370" t="n">
        <v>20</v>
      </c>
      <c r="AI370" t="n">
        <v>21</v>
      </c>
      <c r="AJ370" t="n">
        <v>9</v>
      </c>
      <c r="AK370" t="n">
        <v>9</v>
      </c>
      <c r="AL370" t="n">
        <v>22</v>
      </c>
      <c r="AM370" t="n">
        <v>22</v>
      </c>
      <c r="AN370" t="n">
        <v>7</v>
      </c>
      <c r="AO370" t="n">
        <v>8</v>
      </c>
      <c r="AP370" t="n">
        <v>0</v>
      </c>
      <c r="AQ370" t="n">
        <v>0</v>
      </c>
      <c r="AR370" t="inlineStr">
        <is>
          <t>No</t>
        </is>
      </c>
      <c r="AS370" t="inlineStr">
        <is>
          <t>Yes</t>
        </is>
      </c>
      <c r="AT370">
        <f>HYPERLINK("http://catalog.hathitrust.org/Record/000250674","HathiTrust Record")</f>
        <v/>
      </c>
      <c r="AU370">
        <f>HYPERLINK("https://creighton-primo.hosted.exlibrisgroup.com/primo-explore/search?tab=default_tab&amp;search_scope=EVERYTHING&amp;vid=01CRU&amp;lang=en_US&amp;offset=0&amp;query=any,contains,991004309039702656","Catalog Record")</f>
        <v/>
      </c>
      <c r="AV370">
        <f>HYPERLINK("http://www.worldcat.org/oclc/2985874","WorldCat Record")</f>
        <v/>
      </c>
      <c r="AW370" t="inlineStr">
        <is>
          <t>796440514:eng</t>
        </is>
      </c>
      <c r="AX370" t="inlineStr">
        <is>
          <t>2985874</t>
        </is>
      </c>
      <c r="AY370" t="inlineStr">
        <is>
          <t>991004309039702656</t>
        </is>
      </c>
      <c r="AZ370" t="inlineStr">
        <is>
          <t>991004309039702656</t>
        </is>
      </c>
      <c r="BA370" t="inlineStr">
        <is>
          <t>2262218110002656</t>
        </is>
      </c>
      <c r="BB370" t="inlineStr">
        <is>
          <t>BOOK</t>
        </is>
      </c>
      <c r="BD370" t="inlineStr">
        <is>
          <t>9780517528938</t>
        </is>
      </c>
      <c r="BE370" t="inlineStr">
        <is>
          <t>32285000146216</t>
        </is>
      </c>
      <c r="BF370" t="inlineStr">
        <is>
          <t>893331431</t>
        </is>
      </c>
    </row>
    <row r="371">
      <c r="A371" t="inlineStr">
        <is>
          <t>No</t>
        </is>
      </c>
      <c r="B371" t="inlineStr">
        <is>
          <t>CURAL</t>
        </is>
      </c>
      <c r="C371" t="inlineStr">
        <is>
          <t>SHELVES</t>
        </is>
      </c>
      <c r="D371" t="inlineStr">
        <is>
          <t>BL53 .A7 1975</t>
        </is>
      </c>
      <c r="E371" t="inlineStr">
        <is>
          <t>0                      BL 0053000A  7           1975</t>
        </is>
      </c>
      <c r="F371" t="inlineStr">
        <is>
          <t>The social psychology of religion / Michael Argyle and Benjamin Beit-Hallahmi.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M371" t="inlineStr">
        <is>
          <t>Argyle, Michael.</t>
        </is>
      </c>
      <c r="N371" t="inlineStr">
        <is>
          <t>London ; Boston : Routledge &amp; K. Paul, 1975.</t>
        </is>
      </c>
      <c r="O371" t="inlineStr">
        <is>
          <t>1975</t>
        </is>
      </c>
      <c r="Q371" t="inlineStr">
        <is>
          <t>eng</t>
        </is>
      </c>
      <c r="R371" t="inlineStr">
        <is>
          <t>enk</t>
        </is>
      </c>
      <c r="S371" t="inlineStr">
        <is>
          <t>International library of sociology</t>
        </is>
      </c>
      <c r="T371" t="inlineStr">
        <is>
          <t xml:space="preserve">BL </t>
        </is>
      </c>
      <c r="U371" t="n">
        <v>3</v>
      </c>
      <c r="V371" t="n">
        <v>3</v>
      </c>
      <c r="W371" t="inlineStr">
        <is>
          <t>1998-11-29</t>
        </is>
      </c>
      <c r="X371" t="inlineStr">
        <is>
          <t>1998-11-29</t>
        </is>
      </c>
      <c r="Y371" t="inlineStr">
        <is>
          <t>1990-09-26</t>
        </is>
      </c>
      <c r="Z371" t="inlineStr">
        <is>
          <t>1990-09-26</t>
        </is>
      </c>
      <c r="AA371" t="n">
        <v>650</v>
      </c>
      <c r="AB371" t="n">
        <v>521</v>
      </c>
      <c r="AC371" t="n">
        <v>557</v>
      </c>
      <c r="AD371" t="n">
        <v>5</v>
      </c>
      <c r="AE371" t="n">
        <v>5</v>
      </c>
      <c r="AF371" t="n">
        <v>24</v>
      </c>
      <c r="AG371" t="n">
        <v>24</v>
      </c>
      <c r="AH371" t="n">
        <v>5</v>
      </c>
      <c r="AI371" t="n">
        <v>5</v>
      </c>
      <c r="AJ371" t="n">
        <v>7</v>
      </c>
      <c r="AK371" t="n">
        <v>7</v>
      </c>
      <c r="AL371" t="n">
        <v>13</v>
      </c>
      <c r="AM371" t="n">
        <v>13</v>
      </c>
      <c r="AN371" t="n">
        <v>3</v>
      </c>
      <c r="AO371" t="n">
        <v>3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HYPERLINK("https://creighton-primo.hosted.exlibrisgroup.com/primo-explore/search?tab=default_tab&amp;search_scope=EVERYTHING&amp;vid=01CRU&amp;lang=en_US&amp;offset=0&amp;query=any,contains,991003872379702656","Catalog Record")</f>
        <v/>
      </c>
      <c r="AV371">
        <f>HYPERLINK("http://www.worldcat.org/oclc/1694575","WorldCat Record")</f>
        <v/>
      </c>
      <c r="AW371" t="inlineStr">
        <is>
          <t>2946074769:eng</t>
        </is>
      </c>
      <c r="AX371" t="inlineStr">
        <is>
          <t>1694575</t>
        </is>
      </c>
      <c r="AY371" t="inlineStr">
        <is>
          <t>991003872379702656</t>
        </is>
      </c>
      <c r="AZ371" t="inlineStr">
        <is>
          <t>991003872379702656</t>
        </is>
      </c>
      <c r="BA371" t="inlineStr">
        <is>
          <t>2256608520002656</t>
        </is>
      </c>
      <c r="BB371" t="inlineStr">
        <is>
          <t>BOOK</t>
        </is>
      </c>
      <c r="BD371" t="inlineStr">
        <is>
          <t>9780710079978</t>
        </is>
      </c>
      <c r="BE371" t="inlineStr">
        <is>
          <t>32285000321785</t>
        </is>
      </c>
      <c r="BF371" t="inlineStr">
        <is>
          <t>893900478</t>
        </is>
      </c>
    </row>
    <row r="372">
      <c r="A372" t="inlineStr">
        <is>
          <t>No</t>
        </is>
      </c>
      <c r="B372" t="inlineStr">
        <is>
          <t>CURAL</t>
        </is>
      </c>
      <c r="C372" t="inlineStr">
        <is>
          <t>SHELVES</t>
        </is>
      </c>
      <c r="D372" t="inlineStr">
        <is>
          <t>BL53 .B44</t>
        </is>
      </c>
      <c r="E372" t="inlineStr">
        <is>
          <t>0                      BL 0053000B  44</t>
        </is>
      </c>
      <c r="F372" t="inlineStr">
        <is>
          <t>Religion and personality in the spiral of life / David Belgum.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Belgum, David Rudolph, 1922-2007.</t>
        </is>
      </c>
      <c r="N372" t="inlineStr">
        <is>
          <t>Washington, D.C. : University Press of America, c1979.</t>
        </is>
      </c>
      <c r="O372" t="inlineStr">
        <is>
          <t>1979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BL </t>
        </is>
      </c>
      <c r="U372" t="n">
        <v>1</v>
      </c>
      <c r="V372" t="n">
        <v>1</v>
      </c>
      <c r="W372" t="inlineStr">
        <is>
          <t>1997-12-02</t>
        </is>
      </c>
      <c r="X372" t="inlineStr">
        <is>
          <t>1997-12-02</t>
        </is>
      </c>
      <c r="Y372" t="inlineStr">
        <is>
          <t>1990-09-26</t>
        </is>
      </c>
      <c r="Z372" t="inlineStr">
        <is>
          <t>1990-09-26</t>
        </is>
      </c>
      <c r="AA372" t="n">
        <v>283</v>
      </c>
      <c r="AB372" t="n">
        <v>256</v>
      </c>
      <c r="AC372" t="n">
        <v>300</v>
      </c>
      <c r="AD372" t="n">
        <v>3</v>
      </c>
      <c r="AE372" t="n">
        <v>3</v>
      </c>
      <c r="AF372" t="n">
        <v>21</v>
      </c>
      <c r="AG372" t="n">
        <v>21</v>
      </c>
      <c r="AH372" t="n">
        <v>11</v>
      </c>
      <c r="AI372" t="n">
        <v>11</v>
      </c>
      <c r="AJ372" t="n">
        <v>3</v>
      </c>
      <c r="AK372" t="n">
        <v>3</v>
      </c>
      <c r="AL372" t="n">
        <v>10</v>
      </c>
      <c r="AM372" t="n">
        <v>10</v>
      </c>
      <c r="AN372" t="n">
        <v>2</v>
      </c>
      <c r="AO372" t="n">
        <v>2</v>
      </c>
      <c r="AP372" t="n">
        <v>0</v>
      </c>
      <c r="AQ372" t="n">
        <v>0</v>
      </c>
      <c r="AR372" t="inlineStr">
        <is>
          <t>No</t>
        </is>
      </c>
      <c r="AS372" t="inlineStr">
        <is>
          <t>No</t>
        </is>
      </c>
      <c r="AU372">
        <f>HYPERLINK("https://creighton-primo.hosted.exlibrisgroup.com/primo-explore/search?tab=default_tab&amp;search_scope=EVERYTHING&amp;vid=01CRU&amp;lang=en_US&amp;offset=0&amp;query=any,contains,991004876289702656","Catalog Record")</f>
        <v/>
      </c>
      <c r="AV372">
        <f>HYPERLINK("http://www.worldcat.org/oclc/5793283","WorldCat Record")</f>
        <v/>
      </c>
      <c r="AW372" t="inlineStr">
        <is>
          <t>312823581:eng</t>
        </is>
      </c>
      <c r="AX372" t="inlineStr">
        <is>
          <t>5793283</t>
        </is>
      </c>
      <c r="AY372" t="inlineStr">
        <is>
          <t>991004876289702656</t>
        </is>
      </c>
      <c r="AZ372" t="inlineStr">
        <is>
          <t>991004876289702656</t>
        </is>
      </c>
      <c r="BA372" t="inlineStr">
        <is>
          <t>2269660830002656</t>
        </is>
      </c>
      <c r="BB372" t="inlineStr">
        <is>
          <t>BOOK</t>
        </is>
      </c>
      <c r="BD372" t="inlineStr">
        <is>
          <t>9780819108326</t>
        </is>
      </c>
      <c r="BE372" t="inlineStr">
        <is>
          <t>32285000321801</t>
        </is>
      </c>
      <c r="BF372" t="inlineStr">
        <is>
          <t>893789190</t>
        </is>
      </c>
    </row>
    <row r="373">
      <c r="A373" t="inlineStr">
        <is>
          <t>No</t>
        </is>
      </c>
      <c r="B373" t="inlineStr">
        <is>
          <t>CURAL</t>
        </is>
      </c>
      <c r="C373" t="inlineStr">
        <is>
          <t>SHELVES</t>
        </is>
      </c>
      <c r="D373" t="inlineStr">
        <is>
          <t>BL53 .B64 1976</t>
        </is>
      </c>
      <c r="E373" t="inlineStr">
        <is>
          <t>0                      BL 0053000B  64          1976</t>
        </is>
      </c>
      <c r="F373" t="inlineStr">
        <is>
          <t>Religious experience : its nature, types, and validity / by A. C. Bouquet.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Bouquet, A. C. (Alan Coates), 1884-1976.</t>
        </is>
      </c>
      <c r="N373" t="inlineStr">
        <is>
          <t>Westport, Conn. : Greenwood Press, 1976, c1968.</t>
        </is>
      </c>
      <c r="O373" t="inlineStr">
        <is>
          <t>1976</t>
        </is>
      </c>
      <c r="P373" t="inlineStr">
        <is>
          <t>2d ed., completely rev.</t>
        </is>
      </c>
      <c r="Q373" t="inlineStr">
        <is>
          <t>eng</t>
        </is>
      </c>
      <c r="R373" t="inlineStr">
        <is>
          <t>ctu</t>
        </is>
      </c>
      <c r="T373" t="inlineStr">
        <is>
          <t xml:space="preserve">BL </t>
        </is>
      </c>
      <c r="U373" t="n">
        <v>2</v>
      </c>
      <c r="V373" t="n">
        <v>2</v>
      </c>
      <c r="W373" t="inlineStr">
        <is>
          <t>1992-03-09</t>
        </is>
      </c>
      <c r="X373" t="inlineStr">
        <is>
          <t>1992-03-09</t>
        </is>
      </c>
      <c r="Y373" t="inlineStr">
        <is>
          <t>1990-09-26</t>
        </is>
      </c>
      <c r="Z373" t="inlineStr">
        <is>
          <t>1990-09-26</t>
        </is>
      </c>
      <c r="AA373" t="n">
        <v>216</v>
      </c>
      <c r="AB373" t="n">
        <v>190</v>
      </c>
      <c r="AC373" t="n">
        <v>268</v>
      </c>
      <c r="AD373" t="n">
        <v>2</v>
      </c>
      <c r="AE373" t="n">
        <v>2</v>
      </c>
      <c r="AF373" t="n">
        <v>13</v>
      </c>
      <c r="AG373" t="n">
        <v>16</v>
      </c>
      <c r="AH373" t="n">
        <v>6</v>
      </c>
      <c r="AI373" t="n">
        <v>7</v>
      </c>
      <c r="AJ373" t="n">
        <v>2</v>
      </c>
      <c r="AK373" t="n">
        <v>3</v>
      </c>
      <c r="AL373" t="n">
        <v>8</v>
      </c>
      <c r="AM373" t="n">
        <v>10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Yes</t>
        </is>
      </c>
      <c r="AT373">
        <f>HYPERLINK("http://catalog.hathitrust.org/Record/004479454","HathiTrust Record")</f>
        <v/>
      </c>
      <c r="AU373">
        <f>HYPERLINK("https://creighton-primo.hosted.exlibrisgroup.com/primo-explore/search?tab=default_tab&amp;search_scope=EVERYTHING&amp;vid=01CRU&amp;lang=en_US&amp;offset=0&amp;query=any,contains,991003963679702656","Catalog Record")</f>
        <v/>
      </c>
      <c r="AV373">
        <f>HYPERLINK("http://www.worldcat.org/oclc/1976732","WorldCat Record")</f>
        <v/>
      </c>
      <c r="AW373" t="inlineStr">
        <is>
          <t>927351136:eng</t>
        </is>
      </c>
      <c r="AX373" t="inlineStr">
        <is>
          <t>1976732</t>
        </is>
      </c>
      <c r="AY373" t="inlineStr">
        <is>
          <t>991003963679702656</t>
        </is>
      </c>
      <c r="AZ373" t="inlineStr">
        <is>
          <t>991003963679702656</t>
        </is>
      </c>
      <c r="BA373" t="inlineStr">
        <is>
          <t>2268634390002656</t>
        </is>
      </c>
      <c r="BB373" t="inlineStr">
        <is>
          <t>BOOK</t>
        </is>
      </c>
      <c r="BD373" t="inlineStr">
        <is>
          <t>9780837187143</t>
        </is>
      </c>
      <c r="BE373" t="inlineStr">
        <is>
          <t>32285000321843</t>
        </is>
      </c>
      <c r="BF373" t="inlineStr">
        <is>
          <t>893699641</t>
        </is>
      </c>
    </row>
    <row r="374">
      <c r="A374" t="inlineStr">
        <is>
          <t>No</t>
        </is>
      </c>
      <c r="B374" t="inlineStr">
        <is>
          <t>CURAL</t>
        </is>
      </c>
      <c r="C374" t="inlineStr">
        <is>
          <t>SHELVES</t>
        </is>
      </c>
      <c r="D374" t="inlineStr">
        <is>
          <t>BL53 .B643</t>
        </is>
      </c>
      <c r="E374" t="inlineStr">
        <is>
          <t>0                      BL 0053000B  643</t>
        </is>
      </c>
      <c r="F374" t="inlineStr">
        <is>
          <t>Religion, altered states of consciousness, and social change. Edited by Erika Bourguignon.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Bourguignon, Erika, 1924-2015.</t>
        </is>
      </c>
      <c r="N374" t="inlineStr">
        <is>
          <t>Columbus, Ohio State University Press, 1973.</t>
        </is>
      </c>
      <c r="O374" t="inlineStr">
        <is>
          <t>1973</t>
        </is>
      </c>
      <c r="Q374" t="inlineStr">
        <is>
          <t>eng</t>
        </is>
      </c>
      <c r="R374" t="inlineStr">
        <is>
          <t>ohu</t>
        </is>
      </c>
      <c r="T374" t="inlineStr">
        <is>
          <t xml:space="preserve">BL </t>
        </is>
      </c>
      <c r="U374" t="n">
        <v>6</v>
      </c>
      <c r="V374" t="n">
        <v>6</v>
      </c>
      <c r="W374" t="inlineStr">
        <is>
          <t>2006-10-17</t>
        </is>
      </c>
      <c r="X374" t="inlineStr">
        <is>
          <t>2006-10-17</t>
        </is>
      </c>
      <c r="Y374" t="inlineStr">
        <is>
          <t>1990-09-26</t>
        </is>
      </c>
      <c r="Z374" t="inlineStr">
        <is>
          <t>1990-09-26</t>
        </is>
      </c>
      <c r="AA374" t="n">
        <v>795</v>
      </c>
      <c r="AB374" t="n">
        <v>683</v>
      </c>
      <c r="AC374" t="n">
        <v>698</v>
      </c>
      <c r="AD374" t="n">
        <v>7</v>
      </c>
      <c r="AE374" t="n">
        <v>7</v>
      </c>
      <c r="AF374" t="n">
        <v>31</v>
      </c>
      <c r="AG374" t="n">
        <v>31</v>
      </c>
      <c r="AH374" t="n">
        <v>11</v>
      </c>
      <c r="AI374" t="n">
        <v>11</v>
      </c>
      <c r="AJ374" t="n">
        <v>9</v>
      </c>
      <c r="AK374" t="n">
        <v>9</v>
      </c>
      <c r="AL374" t="n">
        <v>17</v>
      </c>
      <c r="AM374" t="n">
        <v>17</v>
      </c>
      <c r="AN374" t="n">
        <v>5</v>
      </c>
      <c r="AO374" t="n">
        <v>5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HYPERLINK("http://catalog.hathitrust.org/Record/000005833","HathiTrust Record")</f>
        <v/>
      </c>
      <c r="AU374">
        <f>HYPERLINK("https://creighton-primo.hosted.exlibrisgroup.com/primo-explore/search?tab=default_tab&amp;search_scope=EVERYTHING&amp;vid=01CRU&amp;lang=en_US&amp;offset=0&amp;query=any,contains,991002731849702656","Catalog Record")</f>
        <v/>
      </c>
      <c r="AV374">
        <f>HYPERLINK("http://www.worldcat.org/oclc/416940","WorldCat Record")</f>
        <v/>
      </c>
      <c r="AW374" t="inlineStr">
        <is>
          <t>1484421:eng</t>
        </is>
      </c>
      <c r="AX374" t="inlineStr">
        <is>
          <t>416940</t>
        </is>
      </c>
      <c r="AY374" t="inlineStr">
        <is>
          <t>991002731849702656</t>
        </is>
      </c>
      <c r="AZ374" t="inlineStr">
        <is>
          <t>991002731849702656</t>
        </is>
      </c>
      <c r="BA374" t="inlineStr">
        <is>
          <t>2268783380002656</t>
        </is>
      </c>
      <c r="BB374" t="inlineStr">
        <is>
          <t>BOOK</t>
        </is>
      </c>
      <c r="BD374" t="inlineStr">
        <is>
          <t>9780814201671</t>
        </is>
      </c>
      <c r="BE374" t="inlineStr">
        <is>
          <t>32285000321850</t>
        </is>
      </c>
      <c r="BF374" t="inlineStr">
        <is>
          <t>893227205</t>
        </is>
      </c>
    </row>
    <row r="375">
      <c r="A375" t="inlineStr">
        <is>
          <t>No</t>
        </is>
      </c>
      <c r="B375" t="inlineStr">
        <is>
          <t>CURAL</t>
        </is>
      </c>
      <c r="C375" t="inlineStr">
        <is>
          <t>SHELVES</t>
        </is>
      </c>
      <c r="D375" t="inlineStr">
        <is>
          <t>BL53 .B692 1987</t>
        </is>
      </c>
      <c r="E375" t="inlineStr">
        <is>
          <t>0                      BL 0053000B  692         1987</t>
        </is>
      </c>
      <c r="F375" t="inlineStr">
        <is>
          <t>The psychology of religious belief / L.B. Brown.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Brown, L. B. (Laurence Binet), 1927-2011.</t>
        </is>
      </c>
      <c r="N375" t="inlineStr">
        <is>
          <t>London ; Orlando : Academic Press, 1987.</t>
        </is>
      </c>
      <c r="O375" t="inlineStr">
        <is>
          <t>1987</t>
        </is>
      </c>
      <c r="Q375" t="inlineStr">
        <is>
          <t>eng</t>
        </is>
      </c>
      <c r="R375" t="inlineStr">
        <is>
          <t>enk</t>
        </is>
      </c>
      <c r="T375" t="inlineStr">
        <is>
          <t xml:space="preserve">BL </t>
        </is>
      </c>
      <c r="U375" t="n">
        <v>1</v>
      </c>
      <c r="V375" t="n">
        <v>1</v>
      </c>
      <c r="W375" t="inlineStr">
        <is>
          <t>2007-10-11</t>
        </is>
      </c>
      <c r="X375" t="inlineStr">
        <is>
          <t>2007-10-11</t>
        </is>
      </c>
      <c r="Y375" t="inlineStr">
        <is>
          <t>2007-10-11</t>
        </is>
      </c>
      <c r="Z375" t="inlineStr">
        <is>
          <t>2007-10-11</t>
        </is>
      </c>
      <c r="AA375" t="n">
        <v>419</v>
      </c>
      <c r="AB375" t="n">
        <v>278</v>
      </c>
      <c r="AC375" t="n">
        <v>286</v>
      </c>
      <c r="AD375" t="n">
        <v>3</v>
      </c>
      <c r="AE375" t="n">
        <v>3</v>
      </c>
      <c r="AF375" t="n">
        <v>17</v>
      </c>
      <c r="AG375" t="n">
        <v>17</v>
      </c>
      <c r="AH375" t="n">
        <v>4</v>
      </c>
      <c r="AI375" t="n">
        <v>4</v>
      </c>
      <c r="AJ375" t="n">
        <v>2</v>
      </c>
      <c r="AK375" t="n">
        <v>2</v>
      </c>
      <c r="AL375" t="n">
        <v>13</v>
      </c>
      <c r="AM375" t="n">
        <v>13</v>
      </c>
      <c r="AN375" t="n">
        <v>2</v>
      </c>
      <c r="AO375" t="n">
        <v>2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HYPERLINK("http://catalog.hathitrust.org/Record/000875004","HathiTrust Record")</f>
        <v/>
      </c>
      <c r="AU375">
        <f>HYPERLINK("https://creighton-primo.hosted.exlibrisgroup.com/primo-explore/search?tab=default_tab&amp;search_scope=EVERYTHING&amp;vid=01CRU&amp;lang=en_US&amp;offset=0&amp;query=any,contains,991005129439702656","Catalog Record")</f>
        <v/>
      </c>
      <c r="AV375">
        <f>HYPERLINK("http://www.worldcat.org/oclc/23941743","WorldCat Record")</f>
        <v/>
      </c>
      <c r="AW375" t="inlineStr">
        <is>
          <t>4020137354:eng</t>
        </is>
      </c>
      <c r="AX375" t="inlineStr">
        <is>
          <t>23941743</t>
        </is>
      </c>
      <c r="AY375" t="inlineStr">
        <is>
          <t>991005129439702656</t>
        </is>
      </c>
      <c r="AZ375" t="inlineStr">
        <is>
          <t>991005129439702656</t>
        </is>
      </c>
      <c r="BA375" t="inlineStr">
        <is>
          <t>2270535560002656</t>
        </is>
      </c>
      <c r="BB375" t="inlineStr">
        <is>
          <t>BOOK</t>
        </is>
      </c>
      <c r="BD375" t="inlineStr">
        <is>
          <t>9780121363550</t>
        </is>
      </c>
      <c r="BE375" t="inlineStr">
        <is>
          <t>32285005329676</t>
        </is>
      </c>
      <c r="BF375" t="inlineStr">
        <is>
          <t>893619494</t>
        </is>
      </c>
    </row>
    <row r="376">
      <c r="A376" t="inlineStr">
        <is>
          <t>No</t>
        </is>
      </c>
      <c r="B376" t="inlineStr">
        <is>
          <t>CURAL</t>
        </is>
      </c>
      <c r="C376" t="inlineStr">
        <is>
          <t>SHELVES</t>
        </is>
      </c>
      <c r="D376" t="inlineStr">
        <is>
          <t>BL53 .C27</t>
        </is>
      </c>
      <c r="E376" t="inlineStr">
        <is>
          <t>0                      BL 0053000C  27</t>
        </is>
      </c>
      <c r="F376" t="inlineStr">
        <is>
          <t>The religious personality, edited by Donald Capps and Walter H. Capps.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Capps, Donald compiler.</t>
        </is>
      </c>
      <c r="N376" t="inlineStr">
        <is>
          <t>Belmont, Calif., Wadsworth Pub. Co. [1970].</t>
        </is>
      </c>
      <c r="O376" t="inlineStr">
        <is>
          <t>1970</t>
        </is>
      </c>
      <c r="Q376" t="inlineStr">
        <is>
          <t>eng</t>
        </is>
      </c>
      <c r="R376" t="inlineStr">
        <is>
          <t>cau</t>
        </is>
      </c>
      <c r="T376" t="inlineStr">
        <is>
          <t xml:space="preserve">BL </t>
        </is>
      </c>
      <c r="U376" t="n">
        <v>2</v>
      </c>
      <c r="V376" t="n">
        <v>2</v>
      </c>
      <c r="W376" t="inlineStr">
        <is>
          <t>1994-07-27</t>
        </is>
      </c>
      <c r="X376" t="inlineStr">
        <is>
          <t>1994-07-27</t>
        </is>
      </c>
      <c r="Y376" t="inlineStr">
        <is>
          <t>1990-09-26</t>
        </is>
      </c>
      <c r="Z376" t="inlineStr">
        <is>
          <t>1990-09-26</t>
        </is>
      </c>
      <c r="AA376" t="n">
        <v>375</v>
      </c>
      <c r="AB376" t="n">
        <v>329</v>
      </c>
      <c r="AC376" t="n">
        <v>331</v>
      </c>
      <c r="AD376" t="n">
        <v>4</v>
      </c>
      <c r="AE376" t="n">
        <v>4</v>
      </c>
      <c r="AF376" t="n">
        <v>28</v>
      </c>
      <c r="AG376" t="n">
        <v>28</v>
      </c>
      <c r="AH376" t="n">
        <v>9</v>
      </c>
      <c r="AI376" t="n">
        <v>9</v>
      </c>
      <c r="AJ376" t="n">
        <v>8</v>
      </c>
      <c r="AK376" t="n">
        <v>8</v>
      </c>
      <c r="AL376" t="n">
        <v>17</v>
      </c>
      <c r="AM376" t="n">
        <v>17</v>
      </c>
      <c r="AN376" t="n">
        <v>3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HYPERLINK("http://catalog.hathitrust.org/Record/001921547","HathiTrust Record")</f>
        <v/>
      </c>
      <c r="AU376">
        <f>HYPERLINK("https://creighton-primo.hosted.exlibrisgroup.com/primo-explore/search?tab=default_tab&amp;search_scope=EVERYTHING&amp;vid=01CRU&amp;lang=en_US&amp;offset=0&amp;query=any,contains,991000550369702656","Catalog Record")</f>
        <v/>
      </c>
      <c r="AV376">
        <f>HYPERLINK("http://www.worldcat.org/oclc/92489","WorldCat Record")</f>
        <v/>
      </c>
      <c r="AW376" t="inlineStr">
        <is>
          <t>1306111:eng</t>
        </is>
      </c>
      <c r="AX376" t="inlineStr">
        <is>
          <t>92489</t>
        </is>
      </c>
      <c r="AY376" t="inlineStr">
        <is>
          <t>991000550369702656</t>
        </is>
      </c>
      <c r="AZ376" t="inlineStr">
        <is>
          <t>991000550369702656</t>
        </is>
      </c>
      <c r="BA376" t="inlineStr">
        <is>
          <t>2262585870002656</t>
        </is>
      </c>
      <c r="BB376" t="inlineStr">
        <is>
          <t>BOOK</t>
        </is>
      </c>
      <c r="BE376" t="inlineStr">
        <is>
          <t>32285000321876</t>
        </is>
      </c>
      <c r="BF376" t="inlineStr">
        <is>
          <t>893790630</t>
        </is>
      </c>
    </row>
    <row r="377">
      <c r="A377" t="inlineStr">
        <is>
          <t>No</t>
        </is>
      </c>
      <c r="B377" t="inlineStr">
        <is>
          <t>CURAL</t>
        </is>
      </c>
      <c r="C377" t="inlineStr">
        <is>
          <t>SHELVES</t>
        </is>
      </c>
      <c r="D377" t="inlineStr">
        <is>
          <t>BL53 .C58</t>
        </is>
      </c>
      <c r="E377" t="inlineStr">
        <is>
          <t>0                      BL 0053000C  58</t>
        </is>
      </c>
      <c r="F377" t="inlineStr">
        <is>
          <t>Jung and Christianity : the challenge of reconciliation / Wallace B. Clift.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Clift, Wallace B.</t>
        </is>
      </c>
      <c r="N377" t="inlineStr">
        <is>
          <t>New York : Crossroad, 1982.</t>
        </is>
      </c>
      <c r="O377" t="inlineStr">
        <is>
          <t>1982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BL </t>
        </is>
      </c>
      <c r="U377" t="n">
        <v>4</v>
      </c>
      <c r="V377" t="n">
        <v>4</v>
      </c>
      <c r="W377" t="inlineStr">
        <is>
          <t>1998-04-01</t>
        </is>
      </c>
      <c r="X377" t="inlineStr">
        <is>
          <t>1998-04-01</t>
        </is>
      </c>
      <c r="Y377" t="inlineStr">
        <is>
          <t>1990-09-26</t>
        </is>
      </c>
      <c r="Z377" t="inlineStr">
        <is>
          <t>1990-09-26</t>
        </is>
      </c>
      <c r="AA377" t="n">
        <v>596</v>
      </c>
      <c r="AB377" t="n">
        <v>535</v>
      </c>
      <c r="AC377" t="n">
        <v>641</v>
      </c>
      <c r="AD377" t="n">
        <v>5</v>
      </c>
      <c r="AE377" t="n">
        <v>5</v>
      </c>
      <c r="AF377" t="n">
        <v>28</v>
      </c>
      <c r="AG377" t="n">
        <v>34</v>
      </c>
      <c r="AH377" t="n">
        <v>10</v>
      </c>
      <c r="AI377" t="n">
        <v>13</v>
      </c>
      <c r="AJ377" t="n">
        <v>5</v>
      </c>
      <c r="AK377" t="n">
        <v>6</v>
      </c>
      <c r="AL377" t="n">
        <v>18</v>
      </c>
      <c r="AM377" t="n">
        <v>21</v>
      </c>
      <c r="AN377" t="n">
        <v>3</v>
      </c>
      <c r="AO377" t="n">
        <v>3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HYPERLINK("http://catalog.hathitrust.org/Record/000764979","HathiTrust Record")</f>
        <v/>
      </c>
      <c r="AU377">
        <f>HYPERLINK("https://creighton-primo.hosted.exlibrisgroup.com/primo-explore/search?tab=default_tab&amp;search_scope=EVERYTHING&amp;vid=01CRU&amp;lang=en_US&amp;offset=0&amp;query=any,contains,991005182909702656","Catalog Record")</f>
        <v/>
      </c>
      <c r="AV377">
        <f>HYPERLINK("http://www.worldcat.org/oclc/7947484","WorldCat Record")</f>
        <v/>
      </c>
      <c r="AW377" t="inlineStr">
        <is>
          <t>3526222:eng</t>
        </is>
      </c>
      <c r="AX377" t="inlineStr">
        <is>
          <t>7947484</t>
        </is>
      </c>
      <c r="AY377" t="inlineStr">
        <is>
          <t>991005182909702656</t>
        </is>
      </c>
      <c r="AZ377" t="inlineStr">
        <is>
          <t>991005182909702656</t>
        </is>
      </c>
      <c r="BA377" t="inlineStr">
        <is>
          <t>2270206330002656</t>
        </is>
      </c>
      <c r="BB377" t="inlineStr">
        <is>
          <t>BOOK</t>
        </is>
      </c>
      <c r="BD377" t="inlineStr">
        <is>
          <t>9780824504090</t>
        </is>
      </c>
      <c r="BE377" t="inlineStr">
        <is>
          <t>32285000321892</t>
        </is>
      </c>
      <c r="BF377" t="inlineStr">
        <is>
          <t>893242336</t>
        </is>
      </c>
    </row>
    <row r="378">
      <c r="A378" t="inlineStr">
        <is>
          <t>No</t>
        </is>
      </c>
      <c r="B378" t="inlineStr">
        <is>
          <t>CURAL</t>
        </is>
      </c>
      <c r="C378" t="inlineStr">
        <is>
          <t>SHELVES</t>
        </is>
      </c>
      <c r="D378" t="inlineStr">
        <is>
          <t>BL53 .C78</t>
        </is>
      </c>
      <c r="E378" t="inlineStr">
        <is>
          <t>0                      BL 0053000C  78</t>
        </is>
      </c>
      <c r="F378" t="inlineStr">
        <is>
          <t>Psychological dynamics in religious living [by] Charles A. Curran.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Curran, Charles A. (Charles Arthur), 1913-1978.</t>
        </is>
      </c>
      <c r="N378" t="inlineStr">
        <is>
          <t>[New York] Herder and Herder [1971]</t>
        </is>
      </c>
      <c r="O378" t="inlineStr">
        <is>
          <t>1971</t>
        </is>
      </c>
      <c r="Q378" t="inlineStr">
        <is>
          <t>eng</t>
        </is>
      </c>
      <c r="R378" t="inlineStr">
        <is>
          <t>nyu</t>
        </is>
      </c>
      <c r="T378" t="inlineStr">
        <is>
          <t xml:space="preserve">BL </t>
        </is>
      </c>
      <c r="U378" t="n">
        <v>5</v>
      </c>
      <c r="V378" t="n">
        <v>5</v>
      </c>
      <c r="W378" t="inlineStr">
        <is>
          <t>1996-01-04</t>
        </is>
      </c>
      <c r="X378" t="inlineStr">
        <is>
          <t>1996-01-04</t>
        </is>
      </c>
      <c r="Y378" t="inlineStr">
        <is>
          <t>1990-09-26</t>
        </is>
      </c>
      <c r="Z378" t="inlineStr">
        <is>
          <t>1990-09-26</t>
        </is>
      </c>
      <c r="AA378" t="n">
        <v>243</v>
      </c>
      <c r="AB378" t="n">
        <v>214</v>
      </c>
      <c r="AC378" t="n">
        <v>219</v>
      </c>
      <c r="AD378" t="n">
        <v>3</v>
      </c>
      <c r="AE378" t="n">
        <v>3</v>
      </c>
      <c r="AF378" t="n">
        <v>26</v>
      </c>
      <c r="AG378" t="n">
        <v>26</v>
      </c>
      <c r="AH378" t="n">
        <v>6</v>
      </c>
      <c r="AI378" t="n">
        <v>6</v>
      </c>
      <c r="AJ378" t="n">
        <v>7</v>
      </c>
      <c r="AK378" t="n">
        <v>7</v>
      </c>
      <c r="AL378" t="n">
        <v>20</v>
      </c>
      <c r="AM378" t="n">
        <v>20</v>
      </c>
      <c r="AN378" t="n">
        <v>1</v>
      </c>
      <c r="AO378" t="n">
        <v>1</v>
      </c>
      <c r="AP378" t="n">
        <v>0</v>
      </c>
      <c r="AQ378" t="n">
        <v>0</v>
      </c>
      <c r="AR378" t="inlineStr">
        <is>
          <t>No</t>
        </is>
      </c>
      <c r="AS378" t="inlineStr">
        <is>
          <t>No</t>
        </is>
      </c>
      <c r="AU378">
        <f>HYPERLINK("https://creighton-primo.hosted.exlibrisgroup.com/primo-explore/search?tab=default_tab&amp;search_scope=EVERYTHING&amp;vid=01CRU&amp;lang=en_US&amp;offset=0&amp;query=any,contains,991001273559702656","Catalog Record")</f>
        <v/>
      </c>
      <c r="AV378">
        <f>HYPERLINK("http://www.worldcat.org/oclc/213128","WorldCat Record")</f>
        <v/>
      </c>
      <c r="AW378" t="inlineStr">
        <is>
          <t>1293761:eng</t>
        </is>
      </c>
      <c r="AX378" t="inlineStr">
        <is>
          <t>213128</t>
        </is>
      </c>
      <c r="AY378" t="inlineStr">
        <is>
          <t>991001273559702656</t>
        </is>
      </c>
      <c r="AZ378" t="inlineStr">
        <is>
          <t>991001273559702656</t>
        </is>
      </c>
      <c r="BA378" t="inlineStr">
        <is>
          <t>2255294120002656</t>
        </is>
      </c>
      <c r="BB378" t="inlineStr">
        <is>
          <t>BOOK</t>
        </is>
      </c>
      <c r="BE378" t="inlineStr">
        <is>
          <t>32285000321934</t>
        </is>
      </c>
      <c r="BF378" t="inlineStr">
        <is>
          <t>893346380</t>
        </is>
      </c>
    </row>
    <row r="379">
      <c r="A379" t="inlineStr">
        <is>
          <t>No</t>
        </is>
      </c>
      <c r="B379" t="inlineStr">
        <is>
          <t>CURAL</t>
        </is>
      </c>
      <c r="C379" t="inlineStr">
        <is>
          <t>SHELVES</t>
        </is>
      </c>
      <c r="D379" t="inlineStr">
        <is>
          <t>BL53 .D47</t>
        </is>
      </c>
      <c r="E379" t="inlineStr">
        <is>
          <t>0                      BL 0053000D  47</t>
        </is>
      </c>
      <c r="F379" t="inlineStr">
        <is>
          <t>The Dialogue between theology and psychology, by LeRoy Aden [and others] Edited by Peter Homans.</t>
        </is>
      </c>
      <c r="H379" t="inlineStr">
        <is>
          <t>No</t>
        </is>
      </c>
      <c r="I379" t="inlineStr">
        <is>
          <t>1</t>
        </is>
      </c>
      <c r="J379" t="inlineStr">
        <is>
          <t>Yes</t>
        </is>
      </c>
      <c r="K379" t="inlineStr">
        <is>
          <t>No</t>
        </is>
      </c>
      <c r="L379" t="inlineStr">
        <is>
          <t>0</t>
        </is>
      </c>
      <c r="N379" t="inlineStr">
        <is>
          <t>Chicago, University of Chicago Press [1968]</t>
        </is>
      </c>
      <c r="O379" t="inlineStr">
        <is>
          <t>1968</t>
        </is>
      </c>
      <c r="Q379" t="inlineStr">
        <is>
          <t>eng</t>
        </is>
      </c>
      <c r="R379" t="inlineStr">
        <is>
          <t>ilu</t>
        </is>
      </c>
      <c r="S379" t="inlineStr">
        <is>
          <t>Essays in divinity ; v. 3</t>
        </is>
      </c>
      <c r="T379" t="inlineStr">
        <is>
          <t xml:space="preserve">BL </t>
        </is>
      </c>
      <c r="U379" t="n">
        <v>1</v>
      </c>
      <c r="V379" t="n">
        <v>4</v>
      </c>
      <c r="W379" t="inlineStr">
        <is>
          <t>2006-01-05</t>
        </is>
      </c>
      <c r="X379" t="inlineStr">
        <is>
          <t>2006-01-05</t>
        </is>
      </c>
      <c r="Y379" t="inlineStr">
        <is>
          <t>1990-09-26</t>
        </is>
      </c>
      <c r="Z379" t="inlineStr">
        <is>
          <t>1990-09-26</t>
        </is>
      </c>
      <c r="AA379" t="n">
        <v>1030</v>
      </c>
      <c r="AB379" t="n">
        <v>902</v>
      </c>
      <c r="AC379" t="n">
        <v>912</v>
      </c>
      <c r="AD379" t="n">
        <v>7</v>
      </c>
      <c r="AE379" t="n">
        <v>7</v>
      </c>
      <c r="AF379" t="n">
        <v>41</v>
      </c>
      <c r="AG379" t="n">
        <v>41</v>
      </c>
      <c r="AH379" t="n">
        <v>17</v>
      </c>
      <c r="AI379" t="n">
        <v>17</v>
      </c>
      <c r="AJ379" t="n">
        <v>8</v>
      </c>
      <c r="AK379" t="n">
        <v>8</v>
      </c>
      <c r="AL379" t="n">
        <v>23</v>
      </c>
      <c r="AM379" t="n">
        <v>23</v>
      </c>
      <c r="AN379" t="n">
        <v>4</v>
      </c>
      <c r="AO379" t="n">
        <v>4</v>
      </c>
      <c r="AP379" t="n">
        <v>0</v>
      </c>
      <c r="AQ379" t="n">
        <v>0</v>
      </c>
      <c r="AR379" t="inlineStr">
        <is>
          <t>No</t>
        </is>
      </c>
      <c r="AS379" t="inlineStr">
        <is>
          <t>Yes</t>
        </is>
      </c>
      <c r="AT379">
        <f>HYPERLINK("http://catalog.hathitrust.org/Record/001391413","HathiTrust Record")</f>
        <v/>
      </c>
      <c r="AU379">
        <f>HYPERLINK("https://creighton-primo.hosted.exlibrisgroup.com/primo-explore/search?tab=default_tab&amp;search_scope=EVERYTHING&amp;vid=01CRU&amp;lang=en_US&amp;offset=0&amp;query=any,contains,991001762959702656","Catalog Record")</f>
        <v/>
      </c>
      <c r="AV379">
        <f>HYPERLINK("http://www.worldcat.org/oclc/174366","WorldCat Record")</f>
        <v/>
      </c>
      <c r="AW379" t="inlineStr">
        <is>
          <t>375421987:eng</t>
        </is>
      </c>
      <c r="AX379" t="inlineStr">
        <is>
          <t>174366</t>
        </is>
      </c>
      <c r="AY379" t="inlineStr">
        <is>
          <t>991001762959702656</t>
        </is>
      </c>
      <c r="AZ379" t="inlineStr">
        <is>
          <t>991001762959702656</t>
        </is>
      </c>
      <c r="BA379" t="inlineStr">
        <is>
          <t>2266493140002656</t>
        </is>
      </c>
      <c r="BB379" t="inlineStr">
        <is>
          <t>BOOK</t>
        </is>
      </c>
      <c r="BE379" t="inlineStr">
        <is>
          <t>32285000321942</t>
        </is>
      </c>
      <c r="BF379" t="inlineStr">
        <is>
          <t>893866457</t>
        </is>
      </c>
    </row>
    <row r="380">
      <c r="A380" t="inlineStr">
        <is>
          <t>No</t>
        </is>
      </c>
      <c r="B380" t="inlineStr">
        <is>
          <t>CURAL</t>
        </is>
      </c>
      <c r="C380" t="inlineStr">
        <is>
          <t>SHELVES</t>
        </is>
      </c>
      <c r="D380" t="inlineStr">
        <is>
          <t>BL53 .D63</t>
        </is>
      </c>
      <c r="E380" t="inlineStr">
        <is>
          <t>0                      BL 0053000D  63</t>
        </is>
      </c>
      <c r="F380" t="inlineStr">
        <is>
          <t>Interpreting religious experience / Peter Donovan.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M380" t="inlineStr">
        <is>
          <t>Donovan, Peter, 1940-</t>
        </is>
      </c>
      <c r="N380" t="inlineStr">
        <is>
          <t>New York : Seabury Press, 1979.</t>
        </is>
      </c>
      <c r="O380" t="inlineStr">
        <is>
          <t>1979</t>
        </is>
      </c>
      <c r="Q380" t="inlineStr">
        <is>
          <t>eng</t>
        </is>
      </c>
      <c r="R380" t="inlineStr">
        <is>
          <t>nyu</t>
        </is>
      </c>
      <c r="S380" t="inlineStr">
        <is>
          <t>Issues in religious studies</t>
        </is>
      </c>
      <c r="T380" t="inlineStr">
        <is>
          <t xml:space="preserve">BL </t>
        </is>
      </c>
      <c r="U380" t="n">
        <v>6</v>
      </c>
      <c r="V380" t="n">
        <v>6</v>
      </c>
      <c r="W380" t="inlineStr">
        <is>
          <t>1996-01-04</t>
        </is>
      </c>
      <c r="X380" t="inlineStr">
        <is>
          <t>1996-01-04</t>
        </is>
      </c>
      <c r="Y380" t="inlineStr">
        <is>
          <t>1990-09-26</t>
        </is>
      </c>
      <c r="Z380" t="inlineStr">
        <is>
          <t>1990-09-26</t>
        </is>
      </c>
      <c r="AA380" t="n">
        <v>199</v>
      </c>
      <c r="AB380" t="n">
        <v>179</v>
      </c>
      <c r="AC380" t="n">
        <v>208</v>
      </c>
      <c r="AD380" t="n">
        <v>2</v>
      </c>
      <c r="AE380" t="n">
        <v>2</v>
      </c>
      <c r="AF380" t="n">
        <v>12</v>
      </c>
      <c r="AG380" t="n">
        <v>12</v>
      </c>
      <c r="AH380" t="n">
        <v>4</v>
      </c>
      <c r="AI380" t="n">
        <v>4</v>
      </c>
      <c r="AJ380" t="n">
        <v>2</v>
      </c>
      <c r="AK380" t="n">
        <v>2</v>
      </c>
      <c r="AL380" t="n">
        <v>8</v>
      </c>
      <c r="AM380" t="n">
        <v>8</v>
      </c>
      <c r="AN380" t="n">
        <v>1</v>
      </c>
      <c r="AO380" t="n">
        <v>1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HYPERLINK("http://catalog.hathitrust.org/Record/007886244","HathiTrust Record")</f>
        <v/>
      </c>
      <c r="AU380">
        <f>HYPERLINK("https://creighton-primo.hosted.exlibrisgroup.com/primo-explore/search?tab=default_tab&amp;search_scope=EVERYTHING&amp;vid=01CRU&amp;lang=en_US&amp;offset=0&amp;query=any,contains,991004664969702656","Catalog Record")</f>
        <v/>
      </c>
      <c r="AV380">
        <f>HYPERLINK("http://www.worldcat.org/oclc/4503177","WorldCat Record")</f>
        <v/>
      </c>
      <c r="AW380" t="inlineStr">
        <is>
          <t>12097082:eng</t>
        </is>
      </c>
      <c r="AX380" t="inlineStr">
        <is>
          <t>4503177</t>
        </is>
      </c>
      <c r="AY380" t="inlineStr">
        <is>
          <t>991004664969702656</t>
        </is>
      </c>
      <c r="AZ380" t="inlineStr">
        <is>
          <t>991004664969702656</t>
        </is>
      </c>
      <c r="BA380" t="inlineStr">
        <is>
          <t>2265174350002656</t>
        </is>
      </c>
      <c r="BB380" t="inlineStr">
        <is>
          <t>BOOK</t>
        </is>
      </c>
      <c r="BD380" t="inlineStr">
        <is>
          <t>9780816422098</t>
        </is>
      </c>
      <c r="BE380" t="inlineStr">
        <is>
          <t>32285000321967</t>
        </is>
      </c>
      <c r="BF380" t="inlineStr">
        <is>
          <t>893411811</t>
        </is>
      </c>
    </row>
    <row r="381">
      <c r="A381" t="inlineStr">
        <is>
          <t>No</t>
        </is>
      </c>
      <c r="B381" t="inlineStr">
        <is>
          <t>CURAL</t>
        </is>
      </c>
      <c r="C381" t="inlineStr">
        <is>
          <t>SHELVES</t>
        </is>
      </c>
      <c r="D381" t="inlineStr">
        <is>
          <t>BL53 .G58</t>
        </is>
      </c>
      <c r="E381" t="inlineStr">
        <is>
          <t>0                      BL 0053000G  58</t>
        </is>
      </c>
      <c r="F381" t="inlineStr">
        <is>
          <t>Growing up to God; eight steps in religious development [by] John J. Gleason, Jr.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Gleason, John J., 1934-</t>
        </is>
      </c>
      <c r="N381" t="inlineStr">
        <is>
          <t>Nashville, Abingdon Press [1975]</t>
        </is>
      </c>
      <c r="O381" t="inlineStr">
        <is>
          <t>1975</t>
        </is>
      </c>
      <c r="Q381" t="inlineStr">
        <is>
          <t>eng</t>
        </is>
      </c>
      <c r="R381" t="inlineStr">
        <is>
          <t>tnu</t>
        </is>
      </c>
      <c r="T381" t="inlineStr">
        <is>
          <t xml:space="preserve">BL </t>
        </is>
      </c>
      <c r="U381" t="n">
        <v>7</v>
      </c>
      <c r="V381" t="n">
        <v>7</v>
      </c>
      <c r="W381" t="inlineStr">
        <is>
          <t>2005-04-02</t>
        </is>
      </c>
      <c r="X381" t="inlineStr">
        <is>
          <t>2005-04-02</t>
        </is>
      </c>
      <c r="Y381" t="inlineStr">
        <is>
          <t>1990-09-26</t>
        </is>
      </c>
      <c r="Z381" t="inlineStr">
        <is>
          <t>1990-09-26</t>
        </is>
      </c>
      <c r="AA381" t="n">
        <v>272</v>
      </c>
      <c r="AB381" t="n">
        <v>237</v>
      </c>
      <c r="AC381" t="n">
        <v>243</v>
      </c>
      <c r="AD381" t="n">
        <v>2</v>
      </c>
      <c r="AE381" t="n">
        <v>2</v>
      </c>
      <c r="AF381" t="n">
        <v>13</v>
      </c>
      <c r="AG381" t="n">
        <v>13</v>
      </c>
      <c r="AH381" t="n">
        <v>3</v>
      </c>
      <c r="AI381" t="n">
        <v>3</v>
      </c>
      <c r="AJ381" t="n">
        <v>2</v>
      </c>
      <c r="AK381" t="n">
        <v>2</v>
      </c>
      <c r="AL381" t="n">
        <v>8</v>
      </c>
      <c r="AM381" t="n">
        <v>8</v>
      </c>
      <c r="AN381" t="n">
        <v>1</v>
      </c>
      <c r="AO381" t="n">
        <v>1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HYPERLINK("https://creighton-primo.hosted.exlibrisgroup.com/primo-explore/search?tab=default_tab&amp;search_scope=EVERYTHING&amp;vid=01CRU&amp;lang=en_US&amp;offset=0&amp;query=any,contains,991003468529702656","Catalog Record")</f>
        <v/>
      </c>
      <c r="AV381">
        <f>HYPERLINK("http://www.worldcat.org/oclc/1009737","WorldCat Record")</f>
        <v/>
      </c>
      <c r="AW381" t="inlineStr">
        <is>
          <t>1929840:eng</t>
        </is>
      </c>
      <c r="AX381" t="inlineStr">
        <is>
          <t>1009737</t>
        </is>
      </c>
      <c r="AY381" t="inlineStr">
        <is>
          <t>991003468529702656</t>
        </is>
      </c>
      <c r="AZ381" t="inlineStr">
        <is>
          <t>991003468529702656</t>
        </is>
      </c>
      <c r="BA381" t="inlineStr">
        <is>
          <t>2263893720002656</t>
        </is>
      </c>
      <c r="BB381" t="inlineStr">
        <is>
          <t>BOOK</t>
        </is>
      </c>
      <c r="BD381" t="inlineStr">
        <is>
          <t>9780687159727</t>
        </is>
      </c>
      <c r="BE381" t="inlineStr">
        <is>
          <t>32285000321991</t>
        </is>
      </c>
      <c r="BF381" t="inlineStr">
        <is>
          <t>893435015</t>
        </is>
      </c>
    </row>
    <row r="382">
      <c r="A382" t="inlineStr">
        <is>
          <t>No</t>
        </is>
      </c>
      <c r="B382" t="inlineStr">
        <is>
          <t>CURAL</t>
        </is>
      </c>
      <c r="C382" t="inlineStr">
        <is>
          <t>SHELVES</t>
        </is>
      </c>
      <c r="D382" t="inlineStr">
        <is>
          <t>BL53 .G6313 1985</t>
        </is>
      </c>
      <c r="E382" t="inlineStr">
        <is>
          <t>0                      BL 0053000G  6313        1985</t>
        </is>
      </c>
      <c r="F382" t="inlineStr">
        <is>
          <t>The psychological dynamics of religious experience / Andre Godin.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Godin, André.</t>
        </is>
      </c>
      <c r="N382" t="inlineStr">
        <is>
          <t>Birmingham, Ala. : Religious Education Press, [1985]</t>
        </is>
      </c>
      <c r="O382" t="inlineStr">
        <is>
          <t>1985</t>
        </is>
      </c>
      <c r="Q382" t="inlineStr">
        <is>
          <t>eng</t>
        </is>
      </c>
      <c r="R382" t="inlineStr">
        <is>
          <t>alu</t>
        </is>
      </c>
      <c r="T382" t="inlineStr">
        <is>
          <t xml:space="preserve">BL </t>
        </is>
      </c>
      <c r="U382" t="n">
        <v>8</v>
      </c>
      <c r="V382" t="n">
        <v>8</v>
      </c>
      <c r="W382" t="inlineStr">
        <is>
          <t>1996-01-04</t>
        </is>
      </c>
      <c r="X382" t="inlineStr">
        <is>
          <t>1996-01-04</t>
        </is>
      </c>
      <c r="Y382" t="inlineStr">
        <is>
          <t>1990-09-26</t>
        </is>
      </c>
      <c r="Z382" t="inlineStr">
        <is>
          <t>1990-09-26</t>
        </is>
      </c>
      <c r="AA382" t="n">
        <v>473</v>
      </c>
      <c r="AB382" t="n">
        <v>397</v>
      </c>
      <c r="AC382" t="n">
        <v>404</v>
      </c>
      <c r="AD382" t="n">
        <v>4</v>
      </c>
      <c r="AE382" t="n">
        <v>4</v>
      </c>
      <c r="AF382" t="n">
        <v>30</v>
      </c>
      <c r="AG382" t="n">
        <v>30</v>
      </c>
      <c r="AH382" t="n">
        <v>9</v>
      </c>
      <c r="AI382" t="n">
        <v>9</v>
      </c>
      <c r="AJ382" t="n">
        <v>6</v>
      </c>
      <c r="AK382" t="n">
        <v>6</v>
      </c>
      <c r="AL382" t="n">
        <v>21</v>
      </c>
      <c r="AM382" t="n">
        <v>21</v>
      </c>
      <c r="AN382" t="n">
        <v>2</v>
      </c>
      <c r="AO382" t="n">
        <v>2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HYPERLINK("http://catalog.hathitrust.org/Record/000351579","HathiTrust Record")</f>
        <v/>
      </c>
      <c r="AU382">
        <f>HYPERLINK("https://creighton-primo.hosted.exlibrisgroup.com/primo-explore/search?tab=default_tab&amp;search_scope=EVERYTHING&amp;vid=01CRU&amp;lang=en_US&amp;offset=0&amp;query=any,contains,991000606589702656","Catalog Record")</f>
        <v/>
      </c>
      <c r="AV382">
        <f>HYPERLINK("http://www.worldcat.org/oclc/11866947","WorldCat Record")</f>
        <v/>
      </c>
      <c r="AW382" t="inlineStr">
        <is>
          <t>4433218:eng</t>
        </is>
      </c>
      <c r="AX382" t="inlineStr">
        <is>
          <t>11866947</t>
        </is>
      </c>
      <c r="AY382" t="inlineStr">
        <is>
          <t>991000606589702656</t>
        </is>
      </c>
      <c r="AZ382" t="inlineStr">
        <is>
          <t>991000606589702656</t>
        </is>
      </c>
      <c r="BA382" t="inlineStr">
        <is>
          <t>2265159070002656</t>
        </is>
      </c>
      <c r="BB382" t="inlineStr">
        <is>
          <t>BOOK</t>
        </is>
      </c>
      <c r="BD382" t="inlineStr">
        <is>
          <t>9780891350392</t>
        </is>
      </c>
      <c r="BE382" t="inlineStr">
        <is>
          <t>32285000322015</t>
        </is>
      </c>
      <c r="BF382" t="inlineStr">
        <is>
          <t>893419614</t>
        </is>
      </c>
    </row>
    <row r="383">
      <c r="A383" t="inlineStr">
        <is>
          <t>No</t>
        </is>
      </c>
      <c r="B383" t="inlineStr">
        <is>
          <t>CURAL</t>
        </is>
      </c>
      <c r="C383" t="inlineStr">
        <is>
          <t>SHELVES</t>
        </is>
      </c>
      <c r="D383" t="inlineStr">
        <is>
          <t>BL53 .G784</t>
        </is>
      </c>
      <c r="E383" t="inlineStr">
        <is>
          <t>0                      BL 0053000G  784</t>
        </is>
      </c>
      <c r="F383" t="inlineStr">
        <is>
          <t>Growing edges in the psychology of religion / [edited by] John R. Tisdale.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N383" t="inlineStr">
        <is>
          <t>Chicago : Nelson-Hall, [1980]</t>
        </is>
      </c>
      <c r="O383" t="inlineStr">
        <is>
          <t>1980</t>
        </is>
      </c>
      <c r="Q383" t="inlineStr">
        <is>
          <t>eng</t>
        </is>
      </c>
      <c r="R383" t="inlineStr">
        <is>
          <t>ilu</t>
        </is>
      </c>
      <c r="T383" t="inlineStr">
        <is>
          <t xml:space="preserve">BL </t>
        </is>
      </c>
      <c r="U383" t="n">
        <v>1</v>
      </c>
      <c r="V383" t="n">
        <v>1</v>
      </c>
      <c r="W383" t="inlineStr">
        <is>
          <t>1992-03-09</t>
        </is>
      </c>
      <c r="X383" t="inlineStr">
        <is>
          <t>1992-03-09</t>
        </is>
      </c>
      <c r="Y383" t="inlineStr">
        <is>
          <t>1990-09-26</t>
        </is>
      </c>
      <c r="Z383" t="inlineStr">
        <is>
          <t>1990-09-26</t>
        </is>
      </c>
      <c r="AA383" t="n">
        <v>507</v>
      </c>
      <c r="AB383" t="n">
        <v>462</v>
      </c>
      <c r="AC383" t="n">
        <v>468</v>
      </c>
      <c r="AD383" t="n">
        <v>4</v>
      </c>
      <c r="AE383" t="n">
        <v>4</v>
      </c>
      <c r="AF383" t="n">
        <v>28</v>
      </c>
      <c r="AG383" t="n">
        <v>28</v>
      </c>
      <c r="AH383" t="n">
        <v>10</v>
      </c>
      <c r="AI383" t="n">
        <v>10</v>
      </c>
      <c r="AJ383" t="n">
        <v>6</v>
      </c>
      <c r="AK383" t="n">
        <v>6</v>
      </c>
      <c r="AL383" t="n">
        <v>19</v>
      </c>
      <c r="AM383" t="n">
        <v>19</v>
      </c>
      <c r="AN383" t="n">
        <v>3</v>
      </c>
      <c r="AO383" t="n">
        <v>3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HYPERLINK("http://catalog.hathitrust.org/Record/000739972","HathiTrust Record")</f>
        <v/>
      </c>
      <c r="AU383">
        <f>HYPERLINK("https://creighton-primo.hosted.exlibrisgroup.com/primo-explore/search?tab=default_tab&amp;search_scope=EVERYTHING&amp;vid=01CRU&amp;lang=en_US&amp;offset=0&amp;query=any,contains,991004822929702656","Catalog Record")</f>
        <v/>
      </c>
      <c r="AV383">
        <f>HYPERLINK("http://www.worldcat.org/oclc/5336900","WorldCat Record")</f>
        <v/>
      </c>
      <c r="AW383" t="inlineStr">
        <is>
          <t>541349:eng</t>
        </is>
      </c>
      <c r="AX383" t="inlineStr">
        <is>
          <t>5336900</t>
        </is>
      </c>
      <c r="AY383" t="inlineStr">
        <is>
          <t>991004822929702656</t>
        </is>
      </c>
      <c r="AZ383" t="inlineStr">
        <is>
          <t>991004822929702656</t>
        </is>
      </c>
      <c r="BA383" t="inlineStr">
        <is>
          <t>2265284120002656</t>
        </is>
      </c>
      <c r="BB383" t="inlineStr">
        <is>
          <t>BOOK</t>
        </is>
      </c>
      <c r="BD383" t="inlineStr">
        <is>
          <t>9780882293387</t>
        </is>
      </c>
      <c r="BE383" t="inlineStr">
        <is>
          <t>32285000322023</t>
        </is>
      </c>
      <c r="BF383" t="inlineStr">
        <is>
          <t>893536219</t>
        </is>
      </c>
    </row>
    <row r="384">
      <c r="A384" t="inlineStr">
        <is>
          <t>No</t>
        </is>
      </c>
      <c r="B384" t="inlineStr">
        <is>
          <t>CURAL</t>
        </is>
      </c>
      <c r="C384" t="inlineStr">
        <is>
          <t>SHELVES</t>
        </is>
      </c>
      <c r="D384" t="inlineStr">
        <is>
          <t>BL53 .H35</t>
        </is>
      </c>
      <c r="E384" t="inlineStr">
        <is>
          <t>0                      BL 0053000H  35</t>
        </is>
      </c>
      <c r="F384" t="inlineStr">
        <is>
          <t>The liberated heart : transactional analysis in religious experience.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M384" t="inlineStr">
        <is>
          <t>Haughton, Rosemary.</t>
        </is>
      </c>
      <c r="N384" t="inlineStr">
        <is>
          <t>New York, Seabury Press [1974]</t>
        </is>
      </c>
      <c r="O384" t="inlineStr">
        <is>
          <t>1974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BL </t>
        </is>
      </c>
      <c r="U384" t="n">
        <v>1</v>
      </c>
      <c r="V384" t="n">
        <v>1</v>
      </c>
      <c r="W384" t="inlineStr">
        <is>
          <t>2000-07-03</t>
        </is>
      </c>
      <c r="X384" t="inlineStr">
        <is>
          <t>2000-07-03</t>
        </is>
      </c>
      <c r="Y384" t="inlineStr">
        <is>
          <t>1990-09-27</t>
        </is>
      </c>
      <c r="Z384" t="inlineStr">
        <is>
          <t>1990-09-27</t>
        </is>
      </c>
      <c r="AA384" t="n">
        <v>290</v>
      </c>
      <c r="AB384" t="n">
        <v>248</v>
      </c>
      <c r="AC384" t="n">
        <v>267</v>
      </c>
      <c r="AD384" t="n">
        <v>1</v>
      </c>
      <c r="AE384" t="n">
        <v>1</v>
      </c>
      <c r="AF384" t="n">
        <v>14</v>
      </c>
      <c r="AG384" t="n">
        <v>15</v>
      </c>
      <c r="AH384" t="n">
        <v>4</v>
      </c>
      <c r="AI384" t="n">
        <v>5</v>
      </c>
      <c r="AJ384" t="n">
        <v>4</v>
      </c>
      <c r="AK384" t="n">
        <v>4</v>
      </c>
      <c r="AL384" t="n">
        <v>11</v>
      </c>
      <c r="AM384" t="n">
        <v>11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HYPERLINK("http://catalog.hathitrust.org/Record/007914279","HathiTrust Record")</f>
        <v/>
      </c>
      <c r="AU384">
        <f>HYPERLINK("https://creighton-primo.hosted.exlibrisgroup.com/primo-explore/search?tab=default_tab&amp;search_scope=EVERYTHING&amp;vid=01CRU&amp;lang=en_US&amp;offset=0&amp;query=any,contains,991003485219702656","Catalog Record")</f>
        <v/>
      </c>
      <c r="AV384">
        <f>HYPERLINK("http://www.worldcat.org/oclc/1032313","WorldCat Record")</f>
        <v/>
      </c>
      <c r="AW384" t="inlineStr">
        <is>
          <t>1980936:eng</t>
        </is>
      </c>
      <c r="AX384" t="inlineStr">
        <is>
          <t>1032313</t>
        </is>
      </c>
      <c r="AY384" t="inlineStr">
        <is>
          <t>991003485219702656</t>
        </is>
      </c>
      <c r="AZ384" t="inlineStr">
        <is>
          <t>991003485219702656</t>
        </is>
      </c>
      <c r="BA384" t="inlineStr">
        <is>
          <t>2268130890002656</t>
        </is>
      </c>
      <c r="BB384" t="inlineStr">
        <is>
          <t>BOOK</t>
        </is>
      </c>
      <c r="BD384" t="inlineStr">
        <is>
          <t>9780816411672</t>
        </is>
      </c>
      <c r="BE384" t="inlineStr">
        <is>
          <t>32285004837539</t>
        </is>
      </c>
      <c r="BF384" t="inlineStr">
        <is>
          <t>893617374</t>
        </is>
      </c>
    </row>
    <row r="385">
      <c r="A385" t="inlineStr">
        <is>
          <t>No</t>
        </is>
      </c>
      <c r="B385" t="inlineStr">
        <is>
          <t>CURAL</t>
        </is>
      </c>
      <c r="C385" t="inlineStr">
        <is>
          <t>SHELVES</t>
        </is>
      </c>
      <c r="D385" t="inlineStr">
        <is>
          <t>BL53 .H37</t>
        </is>
      </c>
      <c r="E385" t="inlineStr">
        <is>
          <t>0                      BL 0053000H  37</t>
        </is>
      </c>
      <c r="F385" t="inlineStr">
        <is>
          <t>Psyche and spirit; readings in psychology and religion, edited by John J. Heaney.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Heaney, John J., compiler.</t>
        </is>
      </c>
      <c r="N385" t="inlineStr">
        <is>
          <t>New York, Paulist Press [1973]</t>
        </is>
      </c>
      <c r="O385" t="inlineStr">
        <is>
          <t>1973</t>
        </is>
      </c>
      <c r="Q385" t="inlineStr">
        <is>
          <t>eng</t>
        </is>
      </c>
      <c r="R385" t="inlineStr">
        <is>
          <t>nyu</t>
        </is>
      </c>
      <c r="T385" t="inlineStr">
        <is>
          <t xml:space="preserve">BL </t>
        </is>
      </c>
      <c r="U385" t="n">
        <v>7</v>
      </c>
      <c r="V385" t="n">
        <v>7</v>
      </c>
      <c r="W385" t="inlineStr">
        <is>
          <t>1996-01-04</t>
        </is>
      </c>
      <c r="X385" t="inlineStr">
        <is>
          <t>1996-01-04</t>
        </is>
      </c>
      <c r="Y385" t="inlineStr">
        <is>
          <t>1990-09-27</t>
        </is>
      </c>
      <c r="Z385" t="inlineStr">
        <is>
          <t>1990-09-27</t>
        </is>
      </c>
      <c r="AA385" t="n">
        <v>280</v>
      </c>
      <c r="AB385" t="n">
        <v>239</v>
      </c>
      <c r="AC385" t="n">
        <v>244</v>
      </c>
      <c r="AD385" t="n">
        <v>3</v>
      </c>
      <c r="AE385" t="n">
        <v>3</v>
      </c>
      <c r="AF385" t="n">
        <v>24</v>
      </c>
      <c r="AG385" t="n">
        <v>24</v>
      </c>
      <c r="AH385" t="n">
        <v>11</v>
      </c>
      <c r="AI385" t="n">
        <v>11</v>
      </c>
      <c r="AJ385" t="n">
        <v>3</v>
      </c>
      <c r="AK385" t="n">
        <v>3</v>
      </c>
      <c r="AL385" t="n">
        <v>15</v>
      </c>
      <c r="AM385" t="n">
        <v>15</v>
      </c>
      <c r="AN385" t="n">
        <v>2</v>
      </c>
      <c r="AO385" t="n">
        <v>2</v>
      </c>
      <c r="AP385" t="n">
        <v>0</v>
      </c>
      <c r="AQ385" t="n">
        <v>0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HYPERLINK("https://creighton-primo.hosted.exlibrisgroup.com/primo-explore/search?tab=default_tab&amp;search_scope=EVERYTHING&amp;vid=01CRU&amp;lang=en_US&amp;offset=0&amp;query=any,contains,991003230129702656","Catalog Record")</f>
        <v/>
      </c>
      <c r="AV385">
        <f>HYPERLINK("http://www.worldcat.org/oclc/754681","WorldCat Record")</f>
        <v/>
      </c>
      <c r="AW385" t="inlineStr">
        <is>
          <t>3944846444:eng</t>
        </is>
      </c>
      <c r="AX385" t="inlineStr">
        <is>
          <t>754681</t>
        </is>
      </c>
      <c r="AY385" t="inlineStr">
        <is>
          <t>991003230129702656</t>
        </is>
      </c>
      <c r="AZ385" t="inlineStr">
        <is>
          <t>991003230129702656</t>
        </is>
      </c>
      <c r="BA385" t="inlineStr">
        <is>
          <t>2267628800002656</t>
        </is>
      </c>
      <c r="BB385" t="inlineStr">
        <is>
          <t>BOOK</t>
        </is>
      </c>
      <c r="BD385" t="inlineStr">
        <is>
          <t>9780809117864</t>
        </is>
      </c>
      <c r="BE385" t="inlineStr">
        <is>
          <t>32285000322213</t>
        </is>
      </c>
      <c r="BF385" t="inlineStr">
        <is>
          <t>893899747</t>
        </is>
      </c>
    </row>
    <row r="386">
      <c r="A386" t="inlineStr">
        <is>
          <t>No</t>
        </is>
      </c>
      <c r="B386" t="inlineStr">
        <is>
          <t>CURAL</t>
        </is>
      </c>
      <c r="C386" t="inlineStr">
        <is>
          <t>SHELVES</t>
        </is>
      </c>
      <c r="D386" t="inlineStr">
        <is>
          <t>BL53 .H378</t>
        </is>
      </c>
      <c r="E386" t="inlineStr">
        <is>
          <t>0                      BL 0053000H  378</t>
        </is>
      </c>
      <c r="F386" t="inlineStr">
        <is>
          <t>Imago Dei : a study of C. G. Jung's psychology of religion / James W. Heisig.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M386" t="inlineStr">
        <is>
          <t>Heisig, James W., 1944-</t>
        </is>
      </c>
      <c r="N386" t="inlineStr">
        <is>
          <t>Lewisburg [Pa.] : Bucknell University Press, c1979.</t>
        </is>
      </c>
      <c r="O386" t="inlineStr">
        <is>
          <t>1979</t>
        </is>
      </c>
      <c r="Q386" t="inlineStr">
        <is>
          <t>eng</t>
        </is>
      </c>
      <c r="R386" t="inlineStr">
        <is>
          <t>pau</t>
        </is>
      </c>
      <c r="S386" t="inlineStr">
        <is>
          <t>Studies in Jungian thought</t>
        </is>
      </c>
      <c r="T386" t="inlineStr">
        <is>
          <t xml:space="preserve">BL </t>
        </is>
      </c>
      <c r="U386" t="n">
        <v>3</v>
      </c>
      <c r="V386" t="n">
        <v>3</v>
      </c>
      <c r="W386" t="inlineStr">
        <is>
          <t>2005-01-24</t>
        </is>
      </c>
      <c r="X386" t="inlineStr">
        <is>
          <t>2005-01-24</t>
        </is>
      </c>
      <c r="Y386" t="inlineStr">
        <is>
          <t>1990-09-27</t>
        </is>
      </c>
      <c r="Z386" t="inlineStr">
        <is>
          <t>1990-09-27</t>
        </is>
      </c>
      <c r="AA386" t="n">
        <v>589</v>
      </c>
      <c r="AB386" t="n">
        <v>514</v>
      </c>
      <c r="AC386" t="n">
        <v>518</v>
      </c>
      <c r="AD386" t="n">
        <v>5</v>
      </c>
      <c r="AE386" t="n">
        <v>5</v>
      </c>
      <c r="AF386" t="n">
        <v>28</v>
      </c>
      <c r="AG386" t="n">
        <v>28</v>
      </c>
      <c r="AH386" t="n">
        <v>8</v>
      </c>
      <c r="AI386" t="n">
        <v>8</v>
      </c>
      <c r="AJ386" t="n">
        <v>6</v>
      </c>
      <c r="AK386" t="n">
        <v>6</v>
      </c>
      <c r="AL386" t="n">
        <v>17</v>
      </c>
      <c r="AM386" t="n">
        <v>17</v>
      </c>
      <c r="AN386" t="n">
        <v>4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HYPERLINK("http://catalog.hathitrust.org/Record/000176933","HathiTrust Record")</f>
        <v/>
      </c>
      <c r="AU386">
        <f>HYPERLINK("https://creighton-primo.hosted.exlibrisgroup.com/primo-explore/search?tab=default_tab&amp;search_scope=EVERYTHING&amp;vid=01CRU&amp;lang=en_US&amp;offset=0&amp;query=any,contains,991004568519702656","Catalog Record")</f>
        <v/>
      </c>
      <c r="AV386">
        <f>HYPERLINK("http://www.worldcat.org/oclc/4005768","WorldCat Record")</f>
        <v/>
      </c>
      <c r="AW386" t="inlineStr">
        <is>
          <t>865184616:eng</t>
        </is>
      </c>
      <c r="AX386" t="inlineStr">
        <is>
          <t>4005768</t>
        </is>
      </c>
      <c r="AY386" t="inlineStr">
        <is>
          <t>991004568519702656</t>
        </is>
      </c>
      <c r="AZ386" t="inlineStr">
        <is>
          <t>991004568519702656</t>
        </is>
      </c>
      <c r="BA386" t="inlineStr">
        <is>
          <t>2264299340002656</t>
        </is>
      </c>
      <c r="BB386" t="inlineStr">
        <is>
          <t>BOOK</t>
        </is>
      </c>
      <c r="BD386" t="inlineStr">
        <is>
          <t>9780838720769</t>
        </is>
      </c>
      <c r="BE386" t="inlineStr">
        <is>
          <t>32285000322221</t>
        </is>
      </c>
      <c r="BF386" t="inlineStr">
        <is>
          <t>893344006</t>
        </is>
      </c>
    </row>
    <row r="387">
      <c r="A387" t="inlineStr">
        <is>
          <t>No</t>
        </is>
      </c>
      <c r="B387" t="inlineStr">
        <is>
          <t>CURAL</t>
        </is>
      </c>
      <c r="C387" t="inlineStr">
        <is>
          <t>SHELVES</t>
        </is>
      </c>
      <c r="D387" t="inlineStr">
        <is>
          <t>BL53 .H583 1957</t>
        </is>
      </c>
      <c r="E387" t="inlineStr">
        <is>
          <t>0                      BL 0053000H  583         1957</t>
        </is>
      </c>
      <c r="F387" t="inlineStr">
        <is>
          <t>Religion and the psychology of Jung / by Raymond Hostie. Translated by G.R. Lamb.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Hostie, Raymond, 1920-</t>
        </is>
      </c>
      <c r="N387" t="inlineStr">
        <is>
          <t>New York : Sheed and Ward, 1957.</t>
        </is>
      </c>
      <c r="O387" t="inlineStr">
        <is>
          <t>1957</t>
        </is>
      </c>
      <c r="Q387" t="inlineStr">
        <is>
          <t>eng</t>
        </is>
      </c>
      <c r="R387" t="inlineStr">
        <is>
          <t>___</t>
        </is>
      </c>
      <c r="T387" t="inlineStr">
        <is>
          <t xml:space="preserve">BL </t>
        </is>
      </c>
      <c r="U387" t="n">
        <v>2</v>
      </c>
      <c r="V387" t="n">
        <v>2</v>
      </c>
      <c r="W387" t="inlineStr">
        <is>
          <t>2006-12-10</t>
        </is>
      </c>
      <c r="X387" t="inlineStr">
        <is>
          <t>2006-12-10</t>
        </is>
      </c>
      <c r="Y387" t="inlineStr">
        <is>
          <t>1990-09-27</t>
        </is>
      </c>
      <c r="Z387" t="inlineStr">
        <is>
          <t>1990-09-27</t>
        </is>
      </c>
      <c r="AA387" t="n">
        <v>364</v>
      </c>
      <c r="AB387" t="n">
        <v>299</v>
      </c>
      <c r="AC387" t="n">
        <v>308</v>
      </c>
      <c r="AD387" t="n">
        <v>1</v>
      </c>
      <c r="AE387" t="n">
        <v>1</v>
      </c>
      <c r="AF387" t="n">
        <v>33</v>
      </c>
      <c r="AG387" t="n">
        <v>33</v>
      </c>
      <c r="AH387" t="n">
        <v>11</v>
      </c>
      <c r="AI387" t="n">
        <v>11</v>
      </c>
      <c r="AJ387" t="n">
        <v>10</v>
      </c>
      <c r="AK387" t="n">
        <v>10</v>
      </c>
      <c r="AL387" t="n">
        <v>25</v>
      </c>
      <c r="AM387" t="n">
        <v>25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HYPERLINK("https://creighton-primo.hosted.exlibrisgroup.com/primo-explore/search?tab=default_tab&amp;search_scope=EVERYTHING&amp;vid=01CRU&amp;lang=en_US&amp;offset=0&amp;query=any,contains,991003793069702656","Catalog Record")</f>
        <v/>
      </c>
      <c r="AV387">
        <f>HYPERLINK("http://www.worldcat.org/oclc/1512889","WorldCat Record")</f>
        <v/>
      </c>
      <c r="AW387" t="inlineStr">
        <is>
          <t>2564867092:eng</t>
        </is>
      </c>
      <c r="AX387" t="inlineStr">
        <is>
          <t>1512889</t>
        </is>
      </c>
      <c r="AY387" t="inlineStr">
        <is>
          <t>991003793069702656</t>
        </is>
      </c>
      <c r="AZ387" t="inlineStr">
        <is>
          <t>991003793069702656</t>
        </is>
      </c>
      <c r="BA387" t="inlineStr">
        <is>
          <t>2260761440002656</t>
        </is>
      </c>
      <c r="BB387" t="inlineStr">
        <is>
          <t>BOOK</t>
        </is>
      </c>
      <c r="BE387" t="inlineStr">
        <is>
          <t>32285000322239</t>
        </is>
      </c>
      <c r="BF387" t="inlineStr">
        <is>
          <t>893775199</t>
        </is>
      </c>
    </row>
    <row r="388">
      <c r="A388" t="inlineStr">
        <is>
          <t>No</t>
        </is>
      </c>
      <c r="B388" t="inlineStr">
        <is>
          <t>CURAL</t>
        </is>
      </c>
      <c r="C388" t="inlineStr">
        <is>
          <t>SHELVES</t>
        </is>
      </c>
      <c r="D388" t="inlineStr">
        <is>
          <t>BL53 .K7</t>
        </is>
      </c>
      <c r="E388" t="inlineStr">
        <is>
          <t>0                      BL 0053000K  7</t>
        </is>
      </c>
      <c r="F388" t="inlineStr">
        <is>
          <t>The search for the holy, by William F. Kraft.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Kraft, William F., 1938-</t>
        </is>
      </c>
      <c r="N388" t="inlineStr">
        <is>
          <t>Philadelphia, Westminster Press [1971]</t>
        </is>
      </c>
      <c r="O388" t="inlineStr">
        <is>
          <t>1971</t>
        </is>
      </c>
      <c r="Q388" t="inlineStr">
        <is>
          <t>eng</t>
        </is>
      </c>
      <c r="R388" t="inlineStr">
        <is>
          <t>pau</t>
        </is>
      </c>
      <c r="T388" t="inlineStr">
        <is>
          <t xml:space="preserve">BL </t>
        </is>
      </c>
      <c r="U388" t="n">
        <v>5</v>
      </c>
      <c r="V388" t="n">
        <v>5</v>
      </c>
      <c r="W388" t="inlineStr">
        <is>
          <t>2000-07-15</t>
        </is>
      </c>
      <c r="X388" t="inlineStr">
        <is>
          <t>2000-07-15</t>
        </is>
      </c>
      <c r="Y388" t="inlineStr">
        <is>
          <t>1990-09-27</t>
        </is>
      </c>
      <c r="Z388" t="inlineStr">
        <is>
          <t>1990-09-27</t>
        </is>
      </c>
      <c r="AA388" t="n">
        <v>229</v>
      </c>
      <c r="AB388" t="n">
        <v>205</v>
      </c>
      <c r="AC388" t="n">
        <v>212</v>
      </c>
      <c r="AD388" t="n">
        <v>4</v>
      </c>
      <c r="AE388" t="n">
        <v>4</v>
      </c>
      <c r="AF388" t="n">
        <v>19</v>
      </c>
      <c r="AG388" t="n">
        <v>19</v>
      </c>
      <c r="AH388" t="n">
        <v>7</v>
      </c>
      <c r="AI388" t="n">
        <v>7</v>
      </c>
      <c r="AJ388" t="n">
        <v>6</v>
      </c>
      <c r="AK388" t="n">
        <v>6</v>
      </c>
      <c r="AL388" t="n">
        <v>11</v>
      </c>
      <c r="AM388" t="n">
        <v>11</v>
      </c>
      <c r="AN388" t="n">
        <v>2</v>
      </c>
      <c r="AO388" t="n">
        <v>2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HYPERLINK("http://catalog.hathitrust.org/Record/006021072","HathiTrust Record")</f>
        <v/>
      </c>
      <c r="AU388">
        <f>HYPERLINK("https://creighton-primo.hosted.exlibrisgroup.com/primo-explore/search?tab=default_tab&amp;search_scope=EVERYTHING&amp;vid=01CRU&amp;lang=en_US&amp;offset=0&amp;query=any,contains,991000921799702656","Catalog Record")</f>
        <v/>
      </c>
      <c r="AV388">
        <f>HYPERLINK("http://www.worldcat.org/oclc/161978","WorldCat Record")</f>
        <v/>
      </c>
      <c r="AW388" t="inlineStr">
        <is>
          <t>1270229:eng</t>
        </is>
      </c>
      <c r="AX388" t="inlineStr">
        <is>
          <t>161978</t>
        </is>
      </c>
      <c r="AY388" t="inlineStr">
        <is>
          <t>991000921799702656</t>
        </is>
      </c>
      <c r="AZ388" t="inlineStr">
        <is>
          <t>991000921799702656</t>
        </is>
      </c>
      <c r="BA388" t="inlineStr">
        <is>
          <t>2269431100002656</t>
        </is>
      </c>
      <c r="BB388" t="inlineStr">
        <is>
          <t>BOOK</t>
        </is>
      </c>
      <c r="BD388" t="inlineStr">
        <is>
          <t>9780664249236</t>
        </is>
      </c>
      <c r="BE388" t="inlineStr">
        <is>
          <t>32285000322288</t>
        </is>
      </c>
      <c r="BF388" t="inlineStr">
        <is>
          <t>893614615</t>
        </is>
      </c>
    </row>
    <row r="389">
      <c r="A389" t="inlineStr">
        <is>
          <t>No</t>
        </is>
      </c>
      <c r="B389" t="inlineStr">
        <is>
          <t>CURAL</t>
        </is>
      </c>
      <c r="C389" t="inlineStr">
        <is>
          <t>SHELVES</t>
        </is>
      </c>
      <c r="D389" t="inlineStr">
        <is>
          <t>BL53 .L4 1969</t>
        </is>
      </c>
      <c r="E389" t="inlineStr">
        <is>
          <t>0                      BL 0053000L  4           1969</t>
        </is>
      </c>
      <c r="F389" t="inlineStr">
        <is>
          <t>A psychological study of religion, its origin, function, and future.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Leuba, James H. (James Henry), 1868-1946.</t>
        </is>
      </c>
      <c r="N389" t="inlineStr">
        <is>
          <t>New York, AMS Press [1969]</t>
        </is>
      </c>
      <c r="O389" t="inlineStr">
        <is>
          <t>1969</t>
        </is>
      </c>
      <c r="Q389" t="inlineStr">
        <is>
          <t>eng</t>
        </is>
      </c>
      <c r="R389" t="inlineStr">
        <is>
          <t>nyu</t>
        </is>
      </c>
      <c r="T389" t="inlineStr">
        <is>
          <t xml:space="preserve">BL </t>
        </is>
      </c>
      <c r="U389" t="n">
        <v>2</v>
      </c>
      <c r="V389" t="n">
        <v>2</v>
      </c>
      <c r="W389" t="inlineStr">
        <is>
          <t>1995-04-05</t>
        </is>
      </c>
      <c r="X389" t="inlineStr">
        <is>
          <t>1995-04-05</t>
        </is>
      </c>
      <c r="Y389" t="inlineStr">
        <is>
          <t>1990-09-27</t>
        </is>
      </c>
      <c r="Z389" t="inlineStr">
        <is>
          <t>1990-09-27</t>
        </is>
      </c>
      <c r="AA389" t="n">
        <v>238</v>
      </c>
      <c r="AB389" t="n">
        <v>206</v>
      </c>
      <c r="AC389" t="n">
        <v>432</v>
      </c>
      <c r="AD389" t="n">
        <v>2</v>
      </c>
      <c r="AE389" t="n">
        <v>4</v>
      </c>
      <c r="AF389" t="n">
        <v>9</v>
      </c>
      <c r="AG389" t="n">
        <v>14</v>
      </c>
      <c r="AH389" t="n">
        <v>1</v>
      </c>
      <c r="AI389" t="n">
        <v>2</v>
      </c>
      <c r="AJ389" t="n">
        <v>2</v>
      </c>
      <c r="AK389" t="n">
        <v>3</v>
      </c>
      <c r="AL389" t="n">
        <v>6</v>
      </c>
      <c r="AM389" t="n">
        <v>8</v>
      </c>
      <c r="AN389" t="n">
        <v>1</v>
      </c>
      <c r="AO389" t="n">
        <v>3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HYPERLINK("http://catalog.hathitrust.org/Record/007127838","HathiTrust Record")</f>
        <v/>
      </c>
      <c r="AU389">
        <f>HYPERLINK("https://creighton-primo.hosted.exlibrisgroup.com/primo-explore/search?tab=default_tab&amp;search_scope=EVERYTHING&amp;vid=01CRU&amp;lang=en_US&amp;offset=0&amp;query=any,contains,991000318679702656","Catalog Record")</f>
        <v/>
      </c>
      <c r="AV389">
        <f>HYPERLINK("http://www.worldcat.org/oclc/69589","WorldCat Record")</f>
        <v/>
      </c>
      <c r="AW389" t="inlineStr">
        <is>
          <t>4886409:eng</t>
        </is>
      </c>
      <c r="AX389" t="inlineStr">
        <is>
          <t>69589</t>
        </is>
      </c>
      <c r="AY389" t="inlineStr">
        <is>
          <t>991000318679702656</t>
        </is>
      </c>
      <c r="AZ389" t="inlineStr">
        <is>
          <t>991000318679702656</t>
        </is>
      </c>
      <c r="BA389" t="inlineStr">
        <is>
          <t>2259686980002656</t>
        </is>
      </c>
      <c r="BB389" t="inlineStr">
        <is>
          <t>BOOK</t>
        </is>
      </c>
      <c r="BE389" t="inlineStr">
        <is>
          <t>32285000322296</t>
        </is>
      </c>
      <c r="BF389" t="inlineStr">
        <is>
          <t>893884289</t>
        </is>
      </c>
    </row>
    <row r="390">
      <c r="A390" t="inlineStr">
        <is>
          <t>No</t>
        </is>
      </c>
      <c r="B390" t="inlineStr">
        <is>
          <t>CURAL</t>
        </is>
      </c>
      <c r="C390" t="inlineStr">
        <is>
          <t>SHELVES</t>
        </is>
      </c>
      <c r="D390" t="inlineStr">
        <is>
          <t>BL53 .L6 1977</t>
        </is>
      </c>
      <c r="E390" t="inlineStr">
        <is>
          <t>0                      BL 0053000L  6           1977</t>
        </is>
      </c>
      <c r="F390" t="inlineStr">
        <is>
          <t>Doomsday Cult : a study of conversion, proselytization, and maintenance of faith / John Lofland.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Lofland, John.</t>
        </is>
      </c>
      <c r="N390" t="inlineStr">
        <is>
          <t>New York : Irvington Publishers : distributed by Halsted Press, c1977.</t>
        </is>
      </c>
      <c r="O390" t="inlineStr">
        <is>
          <t>1977</t>
        </is>
      </c>
      <c r="P390" t="inlineStr">
        <is>
          <t>Enl. ed.</t>
        </is>
      </c>
      <c r="Q390" t="inlineStr">
        <is>
          <t>eng</t>
        </is>
      </c>
      <c r="R390" t="inlineStr">
        <is>
          <t>nyu</t>
        </is>
      </c>
      <c r="T390" t="inlineStr">
        <is>
          <t xml:space="preserve">BL </t>
        </is>
      </c>
      <c r="U390" t="n">
        <v>1</v>
      </c>
      <c r="V390" t="n">
        <v>1</v>
      </c>
      <c r="W390" t="inlineStr">
        <is>
          <t>2004-10-10</t>
        </is>
      </c>
      <c r="X390" t="inlineStr">
        <is>
          <t>2004-10-10</t>
        </is>
      </c>
      <c r="Y390" t="inlineStr">
        <is>
          <t>1990-09-27</t>
        </is>
      </c>
      <c r="Z390" t="inlineStr">
        <is>
          <t>1990-09-27</t>
        </is>
      </c>
      <c r="AA390" t="n">
        <v>500</v>
      </c>
      <c r="AB390" t="n">
        <v>419</v>
      </c>
      <c r="AC390" t="n">
        <v>841</v>
      </c>
      <c r="AD390" t="n">
        <v>3</v>
      </c>
      <c r="AE390" t="n">
        <v>10</v>
      </c>
      <c r="AF390" t="n">
        <v>18</v>
      </c>
      <c r="AG390" t="n">
        <v>37</v>
      </c>
      <c r="AH390" t="n">
        <v>5</v>
      </c>
      <c r="AI390" t="n">
        <v>12</v>
      </c>
      <c r="AJ390" t="n">
        <v>4</v>
      </c>
      <c r="AK390" t="n">
        <v>7</v>
      </c>
      <c r="AL390" t="n">
        <v>9</v>
      </c>
      <c r="AM390" t="n">
        <v>18</v>
      </c>
      <c r="AN390" t="n">
        <v>2</v>
      </c>
      <c r="AO390" t="n">
        <v>8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HYPERLINK("http://catalog.hathitrust.org/Record/000142621","HathiTrust Record")</f>
        <v/>
      </c>
      <c r="AU390">
        <f>HYPERLINK("https://creighton-primo.hosted.exlibrisgroup.com/primo-explore/search?tab=default_tab&amp;search_scope=EVERYTHING&amp;vid=01CRU&amp;lang=en_US&amp;offset=0&amp;query=any,contains,991004342019702656","Catalog Record")</f>
        <v/>
      </c>
      <c r="AV390">
        <f>HYPERLINK("http://www.worldcat.org/oclc/3089844","WorldCat Record")</f>
        <v/>
      </c>
      <c r="AW390" t="inlineStr">
        <is>
          <t>494589:eng</t>
        </is>
      </c>
      <c r="AX390" t="inlineStr">
        <is>
          <t>3089844</t>
        </is>
      </c>
      <c r="AY390" t="inlineStr">
        <is>
          <t>991004342019702656</t>
        </is>
      </c>
      <c r="AZ390" t="inlineStr">
        <is>
          <t>991004342019702656</t>
        </is>
      </c>
      <c r="BA390" t="inlineStr">
        <is>
          <t>2262909130002656</t>
        </is>
      </c>
      <c r="BB390" t="inlineStr">
        <is>
          <t>BOOK</t>
        </is>
      </c>
      <c r="BD390" t="inlineStr">
        <is>
          <t>9780470992494</t>
        </is>
      </c>
      <c r="BE390" t="inlineStr">
        <is>
          <t>32285000322312</t>
        </is>
      </c>
      <c r="BF390" t="inlineStr">
        <is>
          <t>893337604</t>
        </is>
      </c>
    </row>
    <row r="391">
      <c r="A391" t="inlineStr">
        <is>
          <t>No</t>
        </is>
      </c>
      <c r="B391" t="inlineStr">
        <is>
          <t>CURAL</t>
        </is>
      </c>
      <c r="C391" t="inlineStr">
        <is>
          <t>SHELVES</t>
        </is>
      </c>
      <c r="D391" t="inlineStr">
        <is>
          <t>BL53 .M36 1971</t>
        </is>
      </c>
      <c r="E391" t="inlineStr">
        <is>
          <t>0                      BL 0053000M  36          1971</t>
        </is>
      </c>
      <c r="F391" t="inlineStr">
        <is>
          <t>The structure of religious experience.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Macmurray, John, 1891-1976.</t>
        </is>
      </c>
      <c r="N391" t="inlineStr">
        <is>
          <t>[Hamden, Conn.] Archon Books, 1971 [c1936]</t>
        </is>
      </c>
      <c r="O391" t="inlineStr">
        <is>
          <t>1971</t>
        </is>
      </c>
      <c r="Q391" t="inlineStr">
        <is>
          <t>eng</t>
        </is>
      </c>
      <c r="R391" t="inlineStr">
        <is>
          <t>ctu</t>
        </is>
      </c>
      <c r="T391" t="inlineStr">
        <is>
          <t xml:space="preserve">BL </t>
        </is>
      </c>
      <c r="U391" t="n">
        <v>3</v>
      </c>
      <c r="V391" t="n">
        <v>3</v>
      </c>
      <c r="W391" t="inlineStr">
        <is>
          <t>1992-08-05</t>
        </is>
      </c>
      <c r="X391" t="inlineStr">
        <is>
          <t>1992-08-05</t>
        </is>
      </c>
      <c r="Y391" t="inlineStr">
        <is>
          <t>1990-09-27</t>
        </is>
      </c>
      <c r="Z391" t="inlineStr">
        <is>
          <t>1990-09-27</t>
        </is>
      </c>
      <c r="AA391" t="n">
        <v>177</v>
      </c>
      <c r="AB391" t="n">
        <v>146</v>
      </c>
      <c r="AC391" t="n">
        <v>515</v>
      </c>
      <c r="AD391" t="n">
        <v>1</v>
      </c>
      <c r="AE391" t="n">
        <v>2</v>
      </c>
      <c r="AF391" t="n">
        <v>13</v>
      </c>
      <c r="AG391" t="n">
        <v>27</v>
      </c>
      <c r="AH391" t="n">
        <v>4</v>
      </c>
      <c r="AI391" t="n">
        <v>9</v>
      </c>
      <c r="AJ391" t="n">
        <v>2</v>
      </c>
      <c r="AK391" t="n">
        <v>5</v>
      </c>
      <c r="AL391" t="n">
        <v>9</v>
      </c>
      <c r="AM391" t="n">
        <v>18</v>
      </c>
      <c r="AN391" t="n">
        <v>0</v>
      </c>
      <c r="AO391" t="n">
        <v>1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HYPERLINK("http://catalog.hathitrust.org/Record/004479471","HathiTrust Record")</f>
        <v/>
      </c>
      <c r="AU391">
        <f>HYPERLINK("https://creighton-primo.hosted.exlibrisgroup.com/primo-explore/search?tab=default_tab&amp;search_scope=EVERYTHING&amp;vid=01CRU&amp;lang=en_US&amp;offset=0&amp;query=any,contains,991000739869702656","Catalog Record")</f>
        <v/>
      </c>
      <c r="AV391">
        <f>HYPERLINK("http://www.worldcat.org/oclc/128985","WorldCat Record")</f>
        <v/>
      </c>
      <c r="AW391" t="inlineStr">
        <is>
          <t>60752254:eng</t>
        </is>
      </c>
      <c r="AX391" t="inlineStr">
        <is>
          <t>128985</t>
        </is>
      </c>
      <c r="AY391" t="inlineStr">
        <is>
          <t>991000739869702656</t>
        </is>
      </c>
      <c r="AZ391" t="inlineStr">
        <is>
          <t>991000739869702656</t>
        </is>
      </c>
      <c r="BA391" t="inlineStr">
        <is>
          <t>2266754410002656</t>
        </is>
      </c>
      <c r="BB391" t="inlineStr">
        <is>
          <t>BOOK</t>
        </is>
      </c>
      <c r="BD391" t="inlineStr">
        <is>
          <t>9780208009586</t>
        </is>
      </c>
      <c r="BE391" t="inlineStr">
        <is>
          <t>32285000322338</t>
        </is>
      </c>
      <c r="BF391" t="inlineStr">
        <is>
          <t>893702397</t>
        </is>
      </c>
    </row>
    <row r="392">
      <c r="A392" t="inlineStr">
        <is>
          <t>No</t>
        </is>
      </c>
      <c r="B392" t="inlineStr">
        <is>
          <t>CURAL</t>
        </is>
      </c>
      <c r="C392" t="inlineStr">
        <is>
          <t>SHELVES</t>
        </is>
      </c>
      <c r="D392" t="inlineStr">
        <is>
          <t>BL53 .P8 1920a</t>
        </is>
      </c>
      <c r="E392" t="inlineStr">
        <is>
          <t>0                      BL 0053000P  8           1920a</t>
        </is>
      </c>
      <c r="F392" t="inlineStr">
        <is>
          <t>The religious consciousness; a psychological study.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Pratt, James Bissett, 1875-1944.</t>
        </is>
      </c>
      <c r="N392" t="inlineStr">
        <is>
          <t>New York, Hafner Pub. Co., 1971 [c1920]</t>
        </is>
      </c>
      <c r="O392" t="inlineStr">
        <is>
          <t>1971</t>
        </is>
      </c>
      <c r="Q392" t="inlineStr">
        <is>
          <t>eng</t>
        </is>
      </c>
      <c r="R392" t="inlineStr">
        <is>
          <t>nyu</t>
        </is>
      </c>
      <c r="T392" t="inlineStr">
        <is>
          <t xml:space="preserve">BL </t>
        </is>
      </c>
      <c r="U392" t="n">
        <v>2</v>
      </c>
      <c r="V392" t="n">
        <v>2</v>
      </c>
      <c r="W392" t="inlineStr">
        <is>
          <t>1992-07-18</t>
        </is>
      </c>
      <c r="X392" t="inlineStr">
        <is>
          <t>1992-07-18</t>
        </is>
      </c>
      <c r="Y392" t="inlineStr">
        <is>
          <t>1990-09-27</t>
        </is>
      </c>
      <c r="Z392" t="inlineStr">
        <is>
          <t>1990-09-27</t>
        </is>
      </c>
      <c r="AA392" t="n">
        <v>118</v>
      </c>
      <c r="AB392" t="n">
        <v>109</v>
      </c>
      <c r="AC392" t="n">
        <v>702</v>
      </c>
      <c r="AD392" t="n">
        <v>2</v>
      </c>
      <c r="AE392" t="n">
        <v>8</v>
      </c>
      <c r="AF392" t="n">
        <v>7</v>
      </c>
      <c r="AG392" t="n">
        <v>31</v>
      </c>
      <c r="AH392" t="n">
        <v>2</v>
      </c>
      <c r="AI392" t="n">
        <v>9</v>
      </c>
      <c r="AJ392" t="n">
        <v>1</v>
      </c>
      <c r="AK392" t="n">
        <v>5</v>
      </c>
      <c r="AL392" t="n">
        <v>5</v>
      </c>
      <c r="AM392" t="n">
        <v>17</v>
      </c>
      <c r="AN392" t="n">
        <v>1</v>
      </c>
      <c r="AO392" t="n">
        <v>6</v>
      </c>
      <c r="AP392" t="n">
        <v>0</v>
      </c>
      <c r="AQ392" t="n">
        <v>0</v>
      </c>
      <c r="AR392" t="inlineStr">
        <is>
          <t>No</t>
        </is>
      </c>
      <c r="AS392" t="inlineStr">
        <is>
          <t>Yes</t>
        </is>
      </c>
      <c r="AT392">
        <f>HYPERLINK("http://catalog.hathitrust.org/Record/100783244","HathiTrust Record")</f>
        <v/>
      </c>
      <c r="AU392">
        <f>HYPERLINK("https://creighton-primo.hosted.exlibrisgroup.com/primo-explore/search?tab=default_tab&amp;search_scope=EVERYTHING&amp;vid=01CRU&amp;lang=en_US&amp;offset=0&amp;query=any,contains,991000894999702656","Catalog Record")</f>
        <v/>
      </c>
      <c r="AV392">
        <f>HYPERLINK("http://www.worldcat.org/oclc/155650","WorldCat Record")</f>
        <v/>
      </c>
      <c r="AW392" t="inlineStr">
        <is>
          <t>1187231:eng</t>
        </is>
      </c>
      <c r="AX392" t="inlineStr">
        <is>
          <t>155650</t>
        </is>
      </c>
      <c r="AY392" t="inlineStr">
        <is>
          <t>991000894999702656</t>
        </is>
      </c>
      <c r="AZ392" t="inlineStr">
        <is>
          <t>991000894999702656</t>
        </is>
      </c>
      <c r="BA392" t="inlineStr">
        <is>
          <t>2256571240002656</t>
        </is>
      </c>
      <c r="BB392" t="inlineStr">
        <is>
          <t>BOOK</t>
        </is>
      </c>
      <c r="BE392" t="inlineStr">
        <is>
          <t>32285000322379</t>
        </is>
      </c>
      <c r="BF392" t="inlineStr">
        <is>
          <t>893237701</t>
        </is>
      </c>
    </row>
    <row r="393">
      <c r="A393" t="inlineStr">
        <is>
          <t>No</t>
        </is>
      </c>
      <c r="B393" t="inlineStr">
        <is>
          <t>CURAL</t>
        </is>
      </c>
      <c r="C393" t="inlineStr">
        <is>
          <t>SHELVES</t>
        </is>
      </c>
      <c r="D393" t="inlineStr">
        <is>
          <t>BL53 .S35</t>
        </is>
      </c>
      <c r="E393" t="inlineStr">
        <is>
          <t>0                      BL 0053000S  35</t>
        </is>
      </c>
      <c r="F393" t="inlineStr">
        <is>
          <t>Psychology of religion / Geoffrey E. W. Scobie.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M393" t="inlineStr">
        <is>
          <t>Scobie, Geoffrey E. W.</t>
        </is>
      </c>
      <c r="N393" t="inlineStr">
        <is>
          <t>New York : Wiley, 1975.</t>
        </is>
      </c>
      <c r="O393" t="inlineStr">
        <is>
          <t>1975</t>
        </is>
      </c>
      <c r="Q393" t="inlineStr">
        <is>
          <t>eng</t>
        </is>
      </c>
      <c r="R393" t="inlineStr">
        <is>
          <t>nyu</t>
        </is>
      </c>
      <c r="T393" t="inlineStr">
        <is>
          <t xml:space="preserve">BL </t>
        </is>
      </c>
      <c r="U393" t="n">
        <v>2</v>
      </c>
      <c r="V393" t="n">
        <v>2</v>
      </c>
      <c r="W393" t="inlineStr">
        <is>
          <t>1992-04-21</t>
        </is>
      </c>
      <c r="X393" t="inlineStr">
        <is>
          <t>1992-04-21</t>
        </is>
      </c>
      <c r="Y393" t="inlineStr">
        <is>
          <t>1990-09-27</t>
        </is>
      </c>
      <c r="Z393" t="inlineStr">
        <is>
          <t>1990-09-27</t>
        </is>
      </c>
      <c r="AA393" t="n">
        <v>395</v>
      </c>
      <c r="AB393" t="n">
        <v>370</v>
      </c>
      <c r="AC393" t="n">
        <v>458</v>
      </c>
      <c r="AD393" t="n">
        <v>4</v>
      </c>
      <c r="AE393" t="n">
        <v>4</v>
      </c>
      <c r="AF393" t="n">
        <v>19</v>
      </c>
      <c r="AG393" t="n">
        <v>24</v>
      </c>
      <c r="AH393" t="n">
        <v>7</v>
      </c>
      <c r="AI393" t="n">
        <v>9</v>
      </c>
      <c r="AJ393" t="n">
        <v>5</v>
      </c>
      <c r="AK393" t="n">
        <v>6</v>
      </c>
      <c r="AL393" t="n">
        <v>10</v>
      </c>
      <c r="AM393" t="n">
        <v>14</v>
      </c>
      <c r="AN393" t="n">
        <v>3</v>
      </c>
      <c r="AO393" t="n">
        <v>3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HYPERLINK("http://catalog.hathitrust.org/Record/000705105","HathiTrust Record")</f>
        <v/>
      </c>
      <c r="AU393">
        <f>HYPERLINK("https://creighton-primo.hosted.exlibrisgroup.com/primo-explore/search?tab=default_tab&amp;search_scope=EVERYTHING&amp;vid=01CRU&amp;lang=en_US&amp;offset=0&amp;query=any,contains,991003759399702656","Catalog Record")</f>
        <v/>
      </c>
      <c r="AV393">
        <f>HYPERLINK("http://www.worldcat.org/oclc/1444038","WorldCat Record")</f>
        <v/>
      </c>
      <c r="AW393" t="inlineStr">
        <is>
          <t>3768503311:eng</t>
        </is>
      </c>
      <c r="AX393" t="inlineStr">
        <is>
          <t>1444038</t>
        </is>
      </c>
      <c r="AY393" t="inlineStr">
        <is>
          <t>991003759399702656</t>
        </is>
      </c>
      <c r="AZ393" t="inlineStr">
        <is>
          <t>991003759399702656</t>
        </is>
      </c>
      <c r="BA393" t="inlineStr">
        <is>
          <t>2256018250002656</t>
        </is>
      </c>
      <c r="BB393" t="inlineStr">
        <is>
          <t>BOOK</t>
        </is>
      </c>
      <c r="BD393" t="inlineStr">
        <is>
          <t>9780470767122</t>
        </is>
      </c>
      <c r="BE393" t="inlineStr">
        <is>
          <t>32285000322429</t>
        </is>
      </c>
      <c r="BF393" t="inlineStr">
        <is>
          <t>893258820</t>
        </is>
      </c>
    </row>
    <row r="394">
      <c r="A394" t="inlineStr">
        <is>
          <t>No</t>
        </is>
      </c>
      <c r="B394" t="inlineStr">
        <is>
          <t>CURAL</t>
        </is>
      </c>
      <c r="C394" t="inlineStr">
        <is>
          <t>SHELVES</t>
        </is>
      </c>
      <c r="D394" t="inlineStr">
        <is>
          <t>BL53 .T643</t>
        </is>
      </c>
      <c r="E394" t="inlineStr">
        <is>
          <t>0                      BL 0053000T  643</t>
        </is>
      </c>
      <c r="F394" t="inlineStr">
        <is>
          <t>The whole person in a broken world. Translated by John and Helen Doberstein.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M394" t="inlineStr">
        <is>
          <t>Tournier, Paul.</t>
        </is>
      </c>
      <c r="N394" t="inlineStr">
        <is>
          <t>New York, Harper &amp; Row [1964]</t>
        </is>
      </c>
      <c r="O394" t="inlineStr">
        <is>
          <t>1964</t>
        </is>
      </c>
      <c r="P394" t="inlineStr">
        <is>
          <t>[1st ed.]</t>
        </is>
      </c>
      <c r="Q394" t="inlineStr">
        <is>
          <t>eng</t>
        </is>
      </c>
      <c r="R394" t="inlineStr">
        <is>
          <t>nyu</t>
        </is>
      </c>
      <c r="T394" t="inlineStr">
        <is>
          <t xml:space="preserve">BL </t>
        </is>
      </c>
      <c r="U394" t="n">
        <v>2</v>
      </c>
      <c r="V394" t="n">
        <v>2</v>
      </c>
      <c r="W394" t="inlineStr">
        <is>
          <t>1995-10-31</t>
        </is>
      </c>
      <c r="X394" t="inlineStr">
        <is>
          <t>1995-10-31</t>
        </is>
      </c>
      <c r="Y394" t="inlineStr">
        <is>
          <t>1990-09-27</t>
        </is>
      </c>
      <c r="Z394" t="inlineStr">
        <is>
          <t>1990-09-27</t>
        </is>
      </c>
      <c r="AA394" t="n">
        <v>816</v>
      </c>
      <c r="AB394" t="n">
        <v>746</v>
      </c>
      <c r="AC394" t="n">
        <v>781</v>
      </c>
      <c r="AD394" t="n">
        <v>11</v>
      </c>
      <c r="AE394" t="n">
        <v>11</v>
      </c>
      <c r="AF394" t="n">
        <v>25</v>
      </c>
      <c r="AG394" t="n">
        <v>25</v>
      </c>
      <c r="AH394" t="n">
        <v>5</v>
      </c>
      <c r="AI394" t="n">
        <v>5</v>
      </c>
      <c r="AJ394" t="n">
        <v>5</v>
      </c>
      <c r="AK394" t="n">
        <v>5</v>
      </c>
      <c r="AL394" t="n">
        <v>12</v>
      </c>
      <c r="AM394" t="n">
        <v>12</v>
      </c>
      <c r="AN394" t="n">
        <v>7</v>
      </c>
      <c r="AO394" t="n">
        <v>7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HYPERLINK("https://creighton-primo.hosted.exlibrisgroup.com/primo-explore/search?tab=default_tab&amp;search_scope=EVERYTHING&amp;vid=01CRU&amp;lang=en_US&amp;offset=0&amp;query=any,contains,991003177959702656","Catalog Record")</f>
        <v/>
      </c>
      <c r="AV394">
        <f>HYPERLINK("http://www.worldcat.org/oclc/711129","WorldCat Record")</f>
        <v/>
      </c>
      <c r="AW394" t="inlineStr">
        <is>
          <t>347911529:eng</t>
        </is>
      </c>
      <c r="AX394" t="inlineStr">
        <is>
          <t>711129</t>
        </is>
      </c>
      <c r="AY394" t="inlineStr">
        <is>
          <t>991003177959702656</t>
        </is>
      </c>
      <c r="AZ394" t="inlineStr">
        <is>
          <t>991003177959702656</t>
        </is>
      </c>
      <c r="BA394" t="inlineStr">
        <is>
          <t>2264089260002656</t>
        </is>
      </c>
      <c r="BB394" t="inlineStr">
        <is>
          <t>BOOK</t>
        </is>
      </c>
      <c r="BE394" t="inlineStr">
        <is>
          <t>32285000322460</t>
        </is>
      </c>
      <c r="BF394" t="inlineStr">
        <is>
          <t>893774483</t>
        </is>
      </c>
    </row>
    <row r="395">
      <c r="A395" t="inlineStr">
        <is>
          <t>No</t>
        </is>
      </c>
      <c r="B395" t="inlineStr">
        <is>
          <t>CURAL</t>
        </is>
      </c>
      <c r="C395" t="inlineStr">
        <is>
          <t>SHELVES</t>
        </is>
      </c>
      <c r="D395" t="inlineStr">
        <is>
          <t>BL53 .T67 1977</t>
        </is>
      </c>
      <c r="E395" t="inlineStr">
        <is>
          <t>0                      BL 0053000T  67          1977</t>
        </is>
      </c>
      <c r="F395" t="inlineStr">
        <is>
          <t>Transpersonal psychologies / edited by Charles T. Tart.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N395" t="inlineStr">
        <is>
          <t>New York : Harper &amp; Row, 1977.</t>
        </is>
      </c>
      <c r="O395" t="inlineStr">
        <is>
          <t>1977</t>
        </is>
      </c>
      <c r="Q395" t="inlineStr">
        <is>
          <t>eng</t>
        </is>
      </c>
      <c r="R395" t="inlineStr">
        <is>
          <t>nyu</t>
        </is>
      </c>
      <c r="S395" t="inlineStr">
        <is>
          <t>Harper colophon books ; CN486</t>
        </is>
      </c>
      <c r="T395" t="inlineStr">
        <is>
          <t xml:space="preserve">BL </t>
        </is>
      </c>
      <c r="U395" t="n">
        <v>2</v>
      </c>
      <c r="V395" t="n">
        <v>2</v>
      </c>
      <c r="W395" t="inlineStr">
        <is>
          <t>1994-07-27</t>
        </is>
      </c>
      <c r="X395" t="inlineStr">
        <is>
          <t>1994-07-27</t>
        </is>
      </c>
      <c r="Y395" t="inlineStr">
        <is>
          <t>1990-07-11</t>
        </is>
      </c>
      <c r="Z395" t="inlineStr">
        <is>
          <t>1990-07-11</t>
        </is>
      </c>
      <c r="AA395" t="n">
        <v>71</v>
      </c>
      <c r="AB395" t="n">
        <v>63</v>
      </c>
      <c r="AC395" t="n">
        <v>883</v>
      </c>
      <c r="AD395" t="n">
        <v>1</v>
      </c>
      <c r="AE395" t="n">
        <v>6</v>
      </c>
      <c r="AF395" t="n">
        <v>2</v>
      </c>
      <c r="AG395" t="n">
        <v>42</v>
      </c>
      <c r="AH395" t="n">
        <v>0</v>
      </c>
      <c r="AI395" t="n">
        <v>19</v>
      </c>
      <c r="AJ395" t="n">
        <v>0</v>
      </c>
      <c r="AK395" t="n">
        <v>6</v>
      </c>
      <c r="AL395" t="n">
        <v>2</v>
      </c>
      <c r="AM395" t="n">
        <v>22</v>
      </c>
      <c r="AN395" t="n">
        <v>0</v>
      </c>
      <c r="AO395" t="n">
        <v>5</v>
      </c>
      <c r="AP395" t="n">
        <v>0</v>
      </c>
      <c r="AQ395" t="n">
        <v>0</v>
      </c>
      <c r="AR395" t="inlineStr">
        <is>
          <t>No</t>
        </is>
      </c>
      <c r="AS395" t="inlineStr">
        <is>
          <t>No</t>
        </is>
      </c>
      <c r="AU395">
        <f>HYPERLINK("https://creighton-primo.hosted.exlibrisgroup.com/primo-explore/search?tab=default_tab&amp;search_scope=EVERYTHING&amp;vid=01CRU&amp;lang=en_US&amp;offset=0&amp;query=any,contains,991004359629702656","Catalog Record")</f>
        <v/>
      </c>
      <c r="AV395">
        <f>HYPERLINK("http://www.worldcat.org/oclc/3160898","WorldCat Record")</f>
        <v/>
      </c>
      <c r="AW395" t="inlineStr">
        <is>
          <t>54033130:eng</t>
        </is>
      </c>
      <c r="AX395" t="inlineStr">
        <is>
          <t>3160898</t>
        </is>
      </c>
      <c r="AY395" t="inlineStr">
        <is>
          <t>991004359629702656</t>
        </is>
      </c>
      <c r="AZ395" t="inlineStr">
        <is>
          <t>991004359629702656</t>
        </is>
      </c>
      <c r="BA395" t="inlineStr">
        <is>
          <t>2266640590002656</t>
        </is>
      </c>
      <c r="BB395" t="inlineStr">
        <is>
          <t>BOOK</t>
        </is>
      </c>
      <c r="BD395" t="inlineStr">
        <is>
          <t>9780060904869</t>
        </is>
      </c>
      <c r="BE395" t="inlineStr">
        <is>
          <t>32285000224062</t>
        </is>
      </c>
      <c r="BF395" t="inlineStr">
        <is>
          <t>893718810</t>
        </is>
      </c>
    </row>
    <row r="396">
      <c r="A396" t="inlineStr">
        <is>
          <t>No</t>
        </is>
      </c>
      <c r="B396" t="inlineStr">
        <is>
          <t>CURAL</t>
        </is>
      </c>
      <c r="C396" t="inlineStr">
        <is>
          <t>SHELVES</t>
        </is>
      </c>
      <c r="D396" t="inlineStr">
        <is>
          <t>BL53 .U45</t>
        </is>
      </c>
      <c r="E396" t="inlineStr">
        <is>
          <t>0                      BL 0053000U  45</t>
        </is>
      </c>
      <c r="F396" t="inlineStr">
        <is>
          <t>Religion and the unconscious / by Ann and Barry Ulanov.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Ulanov, Ann Belford.</t>
        </is>
      </c>
      <c r="N396" t="inlineStr">
        <is>
          <t>Philadelphia : Westminster Press, [1975]</t>
        </is>
      </c>
      <c r="O396" t="inlineStr">
        <is>
          <t>1975</t>
        </is>
      </c>
      <c r="Q396" t="inlineStr">
        <is>
          <t>eng</t>
        </is>
      </c>
      <c r="R396" t="inlineStr">
        <is>
          <t>pau</t>
        </is>
      </c>
      <c r="T396" t="inlineStr">
        <is>
          <t xml:space="preserve">BL </t>
        </is>
      </c>
      <c r="U396" t="n">
        <v>2</v>
      </c>
      <c r="V396" t="n">
        <v>2</v>
      </c>
      <c r="W396" t="inlineStr">
        <is>
          <t>2010-02-21</t>
        </is>
      </c>
      <c r="X396" t="inlineStr">
        <is>
          <t>2010-02-21</t>
        </is>
      </c>
      <c r="Y396" t="inlineStr">
        <is>
          <t>1990-09-27</t>
        </is>
      </c>
      <c r="Z396" t="inlineStr">
        <is>
          <t>1990-09-27</t>
        </is>
      </c>
      <c r="AA396" t="n">
        <v>666</v>
      </c>
      <c r="AB396" t="n">
        <v>597</v>
      </c>
      <c r="AC396" t="n">
        <v>604</v>
      </c>
      <c r="AD396" t="n">
        <v>4</v>
      </c>
      <c r="AE396" t="n">
        <v>4</v>
      </c>
      <c r="AF396" t="n">
        <v>38</v>
      </c>
      <c r="AG396" t="n">
        <v>38</v>
      </c>
      <c r="AH396" t="n">
        <v>13</v>
      </c>
      <c r="AI396" t="n">
        <v>13</v>
      </c>
      <c r="AJ396" t="n">
        <v>7</v>
      </c>
      <c r="AK396" t="n">
        <v>7</v>
      </c>
      <c r="AL396" t="n">
        <v>24</v>
      </c>
      <c r="AM396" t="n">
        <v>24</v>
      </c>
      <c r="AN396" t="n">
        <v>3</v>
      </c>
      <c r="AO396" t="n">
        <v>3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HYPERLINK("http://catalog.hathitrust.org/Record/009907396","HathiTrust Record")</f>
        <v/>
      </c>
      <c r="AU396">
        <f>HYPERLINK("https://creighton-primo.hosted.exlibrisgroup.com/primo-explore/search?tab=default_tab&amp;search_scope=EVERYTHING&amp;vid=01CRU&amp;lang=en_US&amp;offset=0&amp;query=any,contains,991003747089702656","Catalog Record")</f>
        <v/>
      </c>
      <c r="AV396">
        <f>HYPERLINK("http://www.worldcat.org/oclc/1418936","WorldCat Record")</f>
        <v/>
      </c>
      <c r="AW396" t="inlineStr">
        <is>
          <t>2282563:eng</t>
        </is>
      </c>
      <c r="AX396" t="inlineStr">
        <is>
          <t>1418936</t>
        </is>
      </c>
      <c r="AY396" t="inlineStr">
        <is>
          <t>991003747089702656</t>
        </is>
      </c>
      <c r="AZ396" t="inlineStr">
        <is>
          <t>991003747089702656</t>
        </is>
      </c>
      <c r="BA396" t="inlineStr">
        <is>
          <t>2261057590002656</t>
        </is>
      </c>
      <c r="BB396" t="inlineStr">
        <is>
          <t>BOOK</t>
        </is>
      </c>
      <c r="BD396" t="inlineStr">
        <is>
          <t>9780664207991</t>
        </is>
      </c>
      <c r="BE396" t="inlineStr">
        <is>
          <t>32285000322486</t>
        </is>
      </c>
      <c r="BF396" t="inlineStr">
        <is>
          <t>893699356</t>
        </is>
      </c>
    </row>
    <row r="397">
      <c r="A397" t="inlineStr">
        <is>
          <t>No</t>
        </is>
      </c>
      <c r="B397" t="inlineStr">
        <is>
          <t>CURAL</t>
        </is>
      </c>
      <c r="C397" t="inlineStr">
        <is>
          <t>SHELVES</t>
        </is>
      </c>
      <c r="D397" t="inlineStr">
        <is>
          <t>BL53 .W33 1988</t>
        </is>
      </c>
      <c r="E397" t="inlineStr">
        <is>
          <t>0                      BL 0053000W  33          1988</t>
        </is>
      </c>
      <c r="F397" t="inlineStr">
        <is>
          <t>The psychology of religious knowing / Fraser Watts and Mark Williams.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Watts, Fraser N.</t>
        </is>
      </c>
      <c r="N397" t="inlineStr">
        <is>
          <t>Cambridge ; New York : Cambridge University Press, 1988.</t>
        </is>
      </c>
      <c r="O397" t="inlineStr">
        <is>
          <t>1988</t>
        </is>
      </c>
      <c r="Q397" t="inlineStr">
        <is>
          <t>eng</t>
        </is>
      </c>
      <c r="R397" t="inlineStr">
        <is>
          <t>enk</t>
        </is>
      </c>
      <c r="T397" t="inlineStr">
        <is>
          <t xml:space="preserve">BL </t>
        </is>
      </c>
      <c r="U397" t="n">
        <v>5</v>
      </c>
      <c r="V397" t="n">
        <v>5</v>
      </c>
      <c r="W397" t="inlineStr">
        <is>
          <t>2001-10-01</t>
        </is>
      </c>
      <c r="X397" t="inlineStr">
        <is>
          <t>2001-10-01</t>
        </is>
      </c>
      <c r="Y397" t="inlineStr">
        <is>
          <t>1990-01-02</t>
        </is>
      </c>
      <c r="Z397" t="inlineStr">
        <is>
          <t>1990-01-02</t>
        </is>
      </c>
      <c r="AA397" t="n">
        <v>440</v>
      </c>
      <c r="AB397" t="n">
        <v>302</v>
      </c>
      <c r="AC397" t="n">
        <v>336</v>
      </c>
      <c r="AD397" t="n">
        <v>3</v>
      </c>
      <c r="AE397" t="n">
        <v>4</v>
      </c>
      <c r="AF397" t="n">
        <v>18</v>
      </c>
      <c r="AG397" t="n">
        <v>19</v>
      </c>
      <c r="AH397" t="n">
        <v>6</v>
      </c>
      <c r="AI397" t="n">
        <v>6</v>
      </c>
      <c r="AJ397" t="n">
        <v>4</v>
      </c>
      <c r="AK397" t="n">
        <v>4</v>
      </c>
      <c r="AL397" t="n">
        <v>11</v>
      </c>
      <c r="AM397" t="n">
        <v>11</v>
      </c>
      <c r="AN397" t="n">
        <v>2</v>
      </c>
      <c r="AO397" t="n">
        <v>3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HYPERLINK("https://creighton-primo.hosted.exlibrisgroup.com/primo-explore/search?tab=default_tab&amp;search_scope=EVERYTHING&amp;vid=01CRU&amp;lang=en_US&amp;offset=0&amp;query=any,contains,991001143869702656","Catalog Record")</f>
        <v/>
      </c>
      <c r="AV397">
        <f>HYPERLINK("http://www.worldcat.org/oclc/16756283","WorldCat Record")</f>
        <v/>
      </c>
      <c r="AW397" t="inlineStr">
        <is>
          <t>13202316:eng</t>
        </is>
      </c>
      <c r="AX397" t="inlineStr">
        <is>
          <t>16756283</t>
        </is>
      </c>
      <c r="AY397" t="inlineStr">
        <is>
          <t>991001143869702656</t>
        </is>
      </c>
      <c r="AZ397" t="inlineStr">
        <is>
          <t>991001143869702656</t>
        </is>
      </c>
      <c r="BA397" t="inlineStr">
        <is>
          <t>2260890990002656</t>
        </is>
      </c>
      <c r="BB397" t="inlineStr">
        <is>
          <t>BOOK</t>
        </is>
      </c>
      <c r="BD397" t="inlineStr">
        <is>
          <t>9780521326100</t>
        </is>
      </c>
      <c r="BE397" t="inlineStr">
        <is>
          <t>32285000018712</t>
        </is>
      </c>
      <c r="BF397" t="inlineStr">
        <is>
          <t>893614817</t>
        </is>
      </c>
    </row>
    <row r="398">
      <c r="A398" t="inlineStr">
        <is>
          <t>No</t>
        </is>
      </c>
      <c r="B398" t="inlineStr">
        <is>
          <t>CURAL</t>
        </is>
      </c>
      <c r="C398" t="inlineStr">
        <is>
          <t>SHELVES</t>
        </is>
      </c>
      <c r="D398" t="inlineStr">
        <is>
          <t>BL53 .W45</t>
        </is>
      </c>
      <c r="E398" t="inlineStr">
        <is>
          <t>0                      BL 0053000W  45</t>
        </is>
      </c>
      <c r="F398" t="inlineStr">
        <is>
          <t>God and the unconscious. With a foreword by C. G. Jung, and an appendix by Gebhard Frei.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White, Victor, 1902-1960.</t>
        </is>
      </c>
      <c r="N398" t="inlineStr">
        <is>
          <t>Chicago, H. Regnery Co., 1953.</t>
        </is>
      </c>
      <c r="O398" t="inlineStr">
        <is>
          <t>1953</t>
        </is>
      </c>
      <c r="Q398" t="inlineStr">
        <is>
          <t>eng</t>
        </is>
      </c>
      <c r="R398" t="inlineStr">
        <is>
          <t>___</t>
        </is>
      </c>
      <c r="T398" t="inlineStr">
        <is>
          <t xml:space="preserve">BL </t>
        </is>
      </c>
      <c r="U398" t="n">
        <v>8</v>
      </c>
      <c r="V398" t="n">
        <v>8</v>
      </c>
      <c r="W398" t="inlineStr">
        <is>
          <t>2000-06-19</t>
        </is>
      </c>
      <c r="X398" t="inlineStr">
        <is>
          <t>2000-06-19</t>
        </is>
      </c>
      <c r="Y398" t="inlineStr">
        <is>
          <t>1990-09-27</t>
        </is>
      </c>
      <c r="Z398" t="inlineStr">
        <is>
          <t>1990-09-27</t>
        </is>
      </c>
      <c r="AA398" t="n">
        <v>199</v>
      </c>
      <c r="AB398" t="n">
        <v>191</v>
      </c>
      <c r="AC398" t="n">
        <v>208</v>
      </c>
      <c r="AD398" t="n">
        <v>1</v>
      </c>
      <c r="AE398" t="n">
        <v>1</v>
      </c>
      <c r="AF398" t="n">
        <v>21</v>
      </c>
      <c r="AG398" t="n">
        <v>21</v>
      </c>
      <c r="AH398" t="n">
        <v>7</v>
      </c>
      <c r="AI398" t="n">
        <v>7</v>
      </c>
      <c r="AJ398" t="n">
        <v>4</v>
      </c>
      <c r="AK398" t="n">
        <v>4</v>
      </c>
      <c r="AL398" t="n">
        <v>17</v>
      </c>
      <c r="AM398" t="n">
        <v>17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HYPERLINK("http://catalog.hathitrust.org/Record/006755966","HathiTrust Record")</f>
        <v/>
      </c>
      <c r="AU398">
        <f>HYPERLINK("https://creighton-primo.hosted.exlibrisgroup.com/primo-explore/search?tab=default_tab&amp;search_scope=EVERYTHING&amp;vid=01CRU&amp;lang=en_US&amp;offset=0&amp;query=any,contains,991002280259702656","Catalog Record")</f>
        <v/>
      </c>
      <c r="AV398">
        <f>HYPERLINK("http://www.worldcat.org/oclc/310825","WorldCat Record")</f>
        <v/>
      </c>
      <c r="AW398" t="inlineStr">
        <is>
          <t>5612237707:eng</t>
        </is>
      </c>
      <c r="AX398" t="inlineStr">
        <is>
          <t>310825</t>
        </is>
      </c>
      <c r="AY398" t="inlineStr">
        <is>
          <t>991002280259702656</t>
        </is>
      </c>
      <c r="AZ398" t="inlineStr">
        <is>
          <t>991002280259702656</t>
        </is>
      </c>
      <c r="BA398" t="inlineStr">
        <is>
          <t>2257319040002656</t>
        </is>
      </c>
      <c r="BB398" t="inlineStr">
        <is>
          <t>BOOK</t>
        </is>
      </c>
      <c r="BE398" t="inlineStr">
        <is>
          <t>32285000322502</t>
        </is>
      </c>
      <c r="BF398" t="inlineStr">
        <is>
          <t>893232774</t>
        </is>
      </c>
    </row>
    <row r="399">
      <c r="A399" t="inlineStr">
        <is>
          <t>No</t>
        </is>
      </c>
      <c r="B399" t="inlineStr">
        <is>
          <t>CURAL</t>
        </is>
      </c>
      <c r="C399" t="inlineStr">
        <is>
          <t>SHELVES</t>
        </is>
      </c>
      <c r="D399" t="inlineStr">
        <is>
          <t>BL530 .A84 1987</t>
        </is>
      </c>
      <c r="E399" t="inlineStr">
        <is>
          <t>0                      BL 0530000A  84          1987</t>
        </is>
      </c>
      <c r="F399" t="inlineStr">
        <is>
          <t>Expectations of immortality in late antiquity / by A. Hilary Armstrong.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M399" t="inlineStr">
        <is>
          <t>Armstrong, A. H. (Arthur Hilary)</t>
        </is>
      </c>
      <c r="N399" t="inlineStr">
        <is>
          <t>Milwaukee : Marquette University Press, 1987.</t>
        </is>
      </c>
      <c r="O399" t="inlineStr">
        <is>
          <t>1987</t>
        </is>
      </c>
      <c r="Q399" t="inlineStr">
        <is>
          <t>eng</t>
        </is>
      </c>
      <c r="R399" t="inlineStr">
        <is>
          <t>wiu</t>
        </is>
      </c>
      <c r="S399" t="inlineStr">
        <is>
          <t>The Aquinas lecture ; 1987</t>
        </is>
      </c>
      <c r="T399" t="inlineStr">
        <is>
          <t xml:space="preserve">BL </t>
        </is>
      </c>
      <c r="U399" t="n">
        <v>2</v>
      </c>
      <c r="V399" t="n">
        <v>2</v>
      </c>
      <c r="W399" t="inlineStr">
        <is>
          <t>2004-03-11</t>
        </is>
      </c>
      <c r="X399" t="inlineStr">
        <is>
          <t>2004-03-11</t>
        </is>
      </c>
      <c r="Y399" t="inlineStr">
        <is>
          <t>1990-04-26</t>
        </is>
      </c>
      <c r="Z399" t="inlineStr">
        <is>
          <t>1990-04-26</t>
        </is>
      </c>
      <c r="AA399" t="n">
        <v>286</v>
      </c>
      <c r="AB399" t="n">
        <v>243</v>
      </c>
      <c r="AC399" t="n">
        <v>636</v>
      </c>
      <c r="AD399" t="n">
        <v>2</v>
      </c>
      <c r="AE399" t="n">
        <v>2</v>
      </c>
      <c r="AF399" t="n">
        <v>27</v>
      </c>
      <c r="AG399" t="n">
        <v>30</v>
      </c>
      <c r="AH399" t="n">
        <v>9</v>
      </c>
      <c r="AI399" t="n">
        <v>11</v>
      </c>
      <c r="AJ399" t="n">
        <v>5</v>
      </c>
      <c r="AK399" t="n">
        <v>6</v>
      </c>
      <c r="AL399" t="n">
        <v>22</v>
      </c>
      <c r="AM399" t="n">
        <v>23</v>
      </c>
      <c r="AN399" t="n">
        <v>1</v>
      </c>
      <c r="AO399" t="n">
        <v>1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HYPERLINK("http://catalog.hathitrust.org/Record/000818169","HathiTrust Record")</f>
        <v/>
      </c>
      <c r="AU399">
        <f>HYPERLINK("https://creighton-primo.hosted.exlibrisgroup.com/primo-explore/search?tab=default_tab&amp;search_scope=EVERYTHING&amp;vid=01CRU&amp;lang=en_US&amp;offset=0&amp;query=any,contains,991001045139702656","Catalog Record")</f>
        <v/>
      </c>
      <c r="AV399">
        <f>HYPERLINK("http://www.worldcat.org/oclc/15613883","WorldCat Record")</f>
        <v/>
      </c>
      <c r="AW399" t="inlineStr">
        <is>
          <t>1033386:eng</t>
        </is>
      </c>
      <c r="AX399" t="inlineStr">
        <is>
          <t>15613883</t>
        </is>
      </c>
      <c r="AY399" t="inlineStr">
        <is>
          <t>991001045139702656</t>
        </is>
      </c>
      <c r="AZ399" t="inlineStr">
        <is>
          <t>991001045139702656</t>
        </is>
      </c>
      <c r="BA399" t="inlineStr">
        <is>
          <t>2268952220002656</t>
        </is>
      </c>
      <c r="BB399" t="inlineStr">
        <is>
          <t>BOOK</t>
        </is>
      </c>
      <c r="BD399" t="inlineStr">
        <is>
          <t>9780874621549</t>
        </is>
      </c>
      <c r="BE399" t="inlineStr">
        <is>
          <t>32285000133719</t>
        </is>
      </c>
      <c r="BF399" t="inlineStr">
        <is>
          <t>893407779</t>
        </is>
      </c>
    </row>
    <row r="400">
      <c r="A400" t="inlineStr">
        <is>
          <t>No</t>
        </is>
      </c>
      <c r="B400" t="inlineStr">
        <is>
          <t>CURAL</t>
        </is>
      </c>
      <c r="C400" t="inlineStr">
        <is>
          <t>SHELVES</t>
        </is>
      </c>
      <c r="D400" t="inlineStr">
        <is>
          <t>BL530 .M6 1963</t>
        </is>
      </c>
      <c r="E400" t="inlineStr">
        <is>
          <t>0                      BL 0530000M  6           1963</t>
        </is>
      </c>
      <c r="F400" t="inlineStr">
        <is>
          <t>Ancient beliefs in the immortality of the soul, with some account of their influence on later views.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Moore, Clifford Herschel, 1866-1931.</t>
        </is>
      </c>
      <c r="N400" t="inlineStr">
        <is>
          <t>New York, Cooper Square Publishers, 1963.</t>
        </is>
      </c>
      <c r="O400" t="inlineStr">
        <is>
          <t>1963</t>
        </is>
      </c>
      <c r="Q400" t="inlineStr">
        <is>
          <t>eng</t>
        </is>
      </c>
      <c r="R400" t="inlineStr">
        <is>
          <t>nyu</t>
        </is>
      </c>
      <c r="S400" t="inlineStr">
        <is>
          <t>Our debt to Greece and Rome</t>
        </is>
      </c>
      <c r="T400" t="inlineStr">
        <is>
          <t xml:space="preserve">BL </t>
        </is>
      </c>
      <c r="U400" t="n">
        <v>5</v>
      </c>
      <c r="V400" t="n">
        <v>5</v>
      </c>
      <c r="W400" t="inlineStr">
        <is>
          <t>2009-03-04</t>
        </is>
      </c>
      <c r="X400" t="inlineStr">
        <is>
          <t>2009-03-04</t>
        </is>
      </c>
      <c r="Y400" t="inlineStr">
        <is>
          <t>1990-04-26</t>
        </is>
      </c>
      <c r="Z400" t="inlineStr">
        <is>
          <t>1990-04-26</t>
        </is>
      </c>
      <c r="AA400" t="n">
        <v>724</v>
      </c>
      <c r="AB400" t="n">
        <v>659</v>
      </c>
      <c r="AC400" t="n">
        <v>917</v>
      </c>
      <c r="AD400" t="n">
        <v>3</v>
      </c>
      <c r="AE400" t="n">
        <v>4</v>
      </c>
      <c r="AF400" t="n">
        <v>26</v>
      </c>
      <c r="AG400" t="n">
        <v>38</v>
      </c>
      <c r="AH400" t="n">
        <v>15</v>
      </c>
      <c r="AI400" t="n">
        <v>18</v>
      </c>
      <c r="AJ400" t="n">
        <v>5</v>
      </c>
      <c r="AK400" t="n">
        <v>9</v>
      </c>
      <c r="AL400" t="n">
        <v>9</v>
      </c>
      <c r="AM400" t="n">
        <v>19</v>
      </c>
      <c r="AN400" t="n">
        <v>2</v>
      </c>
      <c r="AO400" t="n">
        <v>3</v>
      </c>
      <c r="AP400" t="n">
        <v>0</v>
      </c>
      <c r="AQ400" t="n">
        <v>0</v>
      </c>
      <c r="AR400" t="inlineStr">
        <is>
          <t>Yes</t>
        </is>
      </c>
      <c r="AS400" t="inlineStr">
        <is>
          <t>No</t>
        </is>
      </c>
      <c r="AT400">
        <f>HYPERLINK("http://catalog.hathitrust.org/Record/000839166","HathiTrust Record")</f>
        <v/>
      </c>
      <c r="AU400">
        <f>HYPERLINK("https://creighton-primo.hosted.exlibrisgroup.com/primo-explore/search?tab=default_tab&amp;search_scope=EVERYTHING&amp;vid=01CRU&amp;lang=en_US&amp;offset=0&amp;query=any,contains,991005356779702656","Catalog Record")</f>
        <v/>
      </c>
      <c r="AV400">
        <f>HYPERLINK("http://www.worldcat.org/oclc/555793","WorldCat Record")</f>
        <v/>
      </c>
      <c r="AW400" t="inlineStr">
        <is>
          <t>477127:eng</t>
        </is>
      </c>
      <c r="AX400" t="inlineStr">
        <is>
          <t>555793</t>
        </is>
      </c>
      <c r="AY400" t="inlineStr">
        <is>
          <t>991005356779702656</t>
        </is>
      </c>
      <c r="AZ400" t="inlineStr">
        <is>
          <t>991005356779702656</t>
        </is>
      </c>
      <c r="BA400" t="inlineStr">
        <is>
          <t>2262446030002656</t>
        </is>
      </c>
      <c r="BB400" t="inlineStr">
        <is>
          <t>BOOK</t>
        </is>
      </c>
      <c r="BE400" t="inlineStr">
        <is>
          <t>32285000133727</t>
        </is>
      </c>
      <c r="BF400" t="inlineStr">
        <is>
          <t>893230573</t>
        </is>
      </c>
    </row>
    <row r="401">
      <c r="A401" t="inlineStr">
        <is>
          <t>No</t>
        </is>
      </c>
      <c r="B401" t="inlineStr">
        <is>
          <t>CURAL</t>
        </is>
      </c>
      <c r="C401" t="inlineStr">
        <is>
          <t>SHELVES</t>
        </is>
      </c>
      <c r="D401" t="inlineStr">
        <is>
          <t>BL535 .K56 1970b</t>
        </is>
      </c>
      <c r="E401" t="inlineStr">
        <is>
          <t>0                      BL 0535000K  56          1970b</t>
        </is>
      </c>
      <c r="F401" t="inlineStr">
        <is>
          <t>Elysion: on Ancient Greek and Roman beliefs concerning a life after death, by W. F. Jackson Knight; with an introduction by G. Wilson Knight.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M401" t="inlineStr">
        <is>
          <t>Knight, W. F. Jackson (William Francis Jackson), 1895-1964.</t>
        </is>
      </c>
      <c r="Q401" t="inlineStr">
        <is>
          <t>eng</t>
        </is>
      </c>
      <c r="R401" t="inlineStr">
        <is>
          <t>___</t>
        </is>
      </c>
      <c r="T401" t="inlineStr">
        <is>
          <t xml:space="preserve">BL </t>
        </is>
      </c>
      <c r="U401" t="n">
        <v>3</v>
      </c>
      <c r="V401" t="n">
        <v>3</v>
      </c>
      <c r="W401" t="inlineStr">
        <is>
          <t>2009-03-04</t>
        </is>
      </c>
      <c r="X401" t="inlineStr">
        <is>
          <t>2009-03-04</t>
        </is>
      </c>
      <c r="Y401" t="inlineStr">
        <is>
          <t>1990-10-11</t>
        </is>
      </c>
      <c r="Z401" t="inlineStr">
        <is>
          <t>1990-10-11</t>
        </is>
      </c>
      <c r="AA401" t="n">
        <v>292</v>
      </c>
      <c r="AB401" t="n">
        <v>274</v>
      </c>
      <c r="AC401" t="n">
        <v>467</v>
      </c>
      <c r="AD401" t="n">
        <v>2</v>
      </c>
      <c r="AE401" t="n">
        <v>2</v>
      </c>
      <c r="AF401" t="n">
        <v>13</v>
      </c>
      <c r="AG401" t="n">
        <v>24</v>
      </c>
      <c r="AH401" t="n">
        <v>5</v>
      </c>
      <c r="AI401" t="n">
        <v>10</v>
      </c>
      <c r="AJ401" t="n">
        <v>4</v>
      </c>
      <c r="AK401" t="n">
        <v>9</v>
      </c>
      <c r="AL401" t="n">
        <v>8</v>
      </c>
      <c r="AM401" t="n">
        <v>14</v>
      </c>
      <c r="AN401" t="n">
        <v>1</v>
      </c>
      <c r="AO401" t="n">
        <v>1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HYPERLINK("https://creighton-primo.hosted.exlibrisgroup.com/primo-explore/search?tab=default_tab&amp;search_scope=EVERYTHING&amp;vid=01CRU&amp;lang=en_US&amp;offset=0&amp;query=any,contains,991000954709702656","Catalog Record")</f>
        <v/>
      </c>
      <c r="AV401">
        <f>HYPERLINK("http://www.worldcat.org/oclc/9559134","WorldCat Record")</f>
        <v/>
      </c>
      <c r="AW401" t="inlineStr">
        <is>
          <t>1250822:eng</t>
        </is>
      </c>
      <c r="AX401" t="inlineStr">
        <is>
          <t>9559134</t>
        </is>
      </c>
      <c r="AY401" t="inlineStr">
        <is>
          <t>991000954709702656</t>
        </is>
      </c>
      <c r="AZ401" t="inlineStr">
        <is>
          <t>991000954709702656</t>
        </is>
      </c>
      <c r="BA401" t="inlineStr">
        <is>
          <t>2272553240002656</t>
        </is>
      </c>
      <c r="BB401" t="inlineStr">
        <is>
          <t>BOOK</t>
        </is>
      </c>
      <c r="BD401" t="inlineStr">
        <is>
          <t>9780091041519</t>
        </is>
      </c>
      <c r="BE401" t="inlineStr">
        <is>
          <t>32285000345883</t>
        </is>
      </c>
      <c r="BF401" t="inlineStr">
        <is>
          <t>893683893</t>
        </is>
      </c>
    </row>
    <row r="402">
      <c r="A402" t="inlineStr">
        <is>
          <t>No</t>
        </is>
      </c>
      <c r="B402" t="inlineStr">
        <is>
          <t>CURAL</t>
        </is>
      </c>
      <c r="C402" t="inlineStr">
        <is>
          <t>SHELVES</t>
        </is>
      </c>
      <c r="D402" t="inlineStr">
        <is>
          <t>BL535 .L45 1973b</t>
        </is>
      </c>
      <c r="E402" t="inlineStr">
        <is>
          <t>0                      BL 0535000L  45          1973b</t>
        </is>
      </c>
      <c r="F402" t="inlineStr">
        <is>
          <t>The self and immortality [by] Hywel D. Lewis.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Lewis, Hywel D., 1910-1992.</t>
        </is>
      </c>
      <c r="N402" t="inlineStr">
        <is>
          <t>[New York] Seabury Press [1973]</t>
        </is>
      </c>
      <c r="O402" t="inlineStr">
        <is>
          <t>1973</t>
        </is>
      </c>
      <c r="Q402" t="inlineStr">
        <is>
          <t>eng</t>
        </is>
      </c>
      <c r="R402" t="inlineStr">
        <is>
          <t>nyu</t>
        </is>
      </c>
      <c r="S402" t="inlineStr">
        <is>
          <t>A Continuum book</t>
        </is>
      </c>
      <c r="T402" t="inlineStr">
        <is>
          <t xml:space="preserve">BL </t>
        </is>
      </c>
      <c r="U402" t="n">
        <v>3</v>
      </c>
      <c r="V402" t="n">
        <v>3</v>
      </c>
      <c r="W402" t="inlineStr">
        <is>
          <t>1995-04-21</t>
        </is>
      </c>
      <c r="X402" t="inlineStr">
        <is>
          <t>1995-04-21</t>
        </is>
      </c>
      <c r="Y402" t="inlineStr">
        <is>
          <t>1990-10-11</t>
        </is>
      </c>
      <c r="Z402" t="inlineStr">
        <is>
          <t>1990-10-11</t>
        </is>
      </c>
      <c r="AA402" t="n">
        <v>401</v>
      </c>
      <c r="AB402" t="n">
        <v>369</v>
      </c>
      <c r="AC402" t="n">
        <v>465</v>
      </c>
      <c r="AD402" t="n">
        <v>5</v>
      </c>
      <c r="AE402" t="n">
        <v>6</v>
      </c>
      <c r="AF402" t="n">
        <v>24</v>
      </c>
      <c r="AG402" t="n">
        <v>31</v>
      </c>
      <c r="AH402" t="n">
        <v>7</v>
      </c>
      <c r="AI402" t="n">
        <v>9</v>
      </c>
      <c r="AJ402" t="n">
        <v>3</v>
      </c>
      <c r="AK402" t="n">
        <v>6</v>
      </c>
      <c r="AL402" t="n">
        <v>17</v>
      </c>
      <c r="AM402" t="n">
        <v>20</v>
      </c>
      <c r="AN402" t="n">
        <v>4</v>
      </c>
      <c r="AO402" t="n">
        <v>5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HYPERLINK("http://catalog.hathitrust.org/Record/102075083","HathiTrust Record")</f>
        <v/>
      </c>
      <c r="AU402">
        <f>HYPERLINK("https://creighton-primo.hosted.exlibrisgroup.com/primo-explore/search?tab=default_tab&amp;search_scope=EVERYTHING&amp;vid=01CRU&amp;lang=en_US&amp;offset=0&amp;query=any,contains,991003256829702656","Catalog Record")</f>
        <v/>
      </c>
      <c r="AV402">
        <f>HYPERLINK("http://www.worldcat.org/oclc/782290","WorldCat Record")</f>
        <v/>
      </c>
      <c r="AW402" t="inlineStr">
        <is>
          <t>1595351:eng</t>
        </is>
      </c>
      <c r="AX402" t="inlineStr">
        <is>
          <t>782290</t>
        </is>
      </c>
      <c r="AY402" t="inlineStr">
        <is>
          <t>991003256829702656</t>
        </is>
      </c>
      <c r="AZ402" t="inlineStr">
        <is>
          <t>991003256829702656</t>
        </is>
      </c>
      <c r="BA402" t="inlineStr">
        <is>
          <t>2263386180002656</t>
        </is>
      </c>
      <c r="BB402" t="inlineStr">
        <is>
          <t>BOOK</t>
        </is>
      </c>
      <c r="BD402" t="inlineStr">
        <is>
          <t>9780816411382</t>
        </is>
      </c>
      <c r="BE402" t="inlineStr">
        <is>
          <t>32285000345909</t>
        </is>
      </c>
      <c r="BF402" t="inlineStr">
        <is>
          <t>893793459</t>
        </is>
      </c>
    </row>
    <row r="403">
      <c r="A403" t="inlineStr">
        <is>
          <t>No</t>
        </is>
      </c>
      <c r="B403" t="inlineStr">
        <is>
          <t>CURAL</t>
        </is>
      </c>
      <c r="C403" t="inlineStr">
        <is>
          <t>SHELVES</t>
        </is>
      </c>
      <c r="D403" t="inlineStr">
        <is>
          <t>BL54 .E57 1977</t>
        </is>
      </c>
      <c r="E403" t="inlineStr">
        <is>
          <t>0                      BL 0054000E  57          1977</t>
        </is>
      </c>
      <c r="F403" t="inlineStr">
        <is>
          <t>Sounds of wonder : speaking in tongues in the Catholic tradition / by Eddie Ensley.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Ensley, Eddie.</t>
        </is>
      </c>
      <c r="N403" t="inlineStr">
        <is>
          <t>New York : Paulist Press, c1977.</t>
        </is>
      </c>
      <c r="O403" t="inlineStr">
        <is>
          <t>1977</t>
        </is>
      </c>
      <c r="Q403" t="inlineStr">
        <is>
          <t>eng</t>
        </is>
      </c>
      <c r="R403" t="inlineStr">
        <is>
          <t>nyu</t>
        </is>
      </c>
      <c r="T403" t="inlineStr">
        <is>
          <t xml:space="preserve">BL </t>
        </is>
      </c>
      <c r="U403" t="n">
        <v>1</v>
      </c>
      <c r="V403" t="n">
        <v>1</v>
      </c>
      <c r="W403" t="inlineStr">
        <is>
          <t>1992-11-16</t>
        </is>
      </c>
      <c r="X403" t="inlineStr">
        <is>
          <t>1992-11-16</t>
        </is>
      </c>
      <c r="Y403" t="inlineStr">
        <is>
          <t>1990-09-27</t>
        </is>
      </c>
      <c r="Z403" t="inlineStr">
        <is>
          <t>1990-09-27</t>
        </is>
      </c>
      <c r="AA403" t="n">
        <v>216</v>
      </c>
      <c r="AB403" t="n">
        <v>197</v>
      </c>
      <c r="AC403" t="n">
        <v>198</v>
      </c>
      <c r="AD403" t="n">
        <v>3</v>
      </c>
      <c r="AE403" t="n">
        <v>3</v>
      </c>
      <c r="AF403" t="n">
        <v>10</v>
      </c>
      <c r="AG403" t="n">
        <v>10</v>
      </c>
      <c r="AH403" t="n">
        <v>1</v>
      </c>
      <c r="AI403" t="n">
        <v>1</v>
      </c>
      <c r="AJ403" t="n">
        <v>4</v>
      </c>
      <c r="AK403" t="n">
        <v>4</v>
      </c>
      <c r="AL403" t="n">
        <v>5</v>
      </c>
      <c r="AM403" t="n">
        <v>5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HYPERLINK("http://catalog.hathitrust.org/Record/101997817","HathiTrust Record")</f>
        <v/>
      </c>
      <c r="AU403">
        <f>HYPERLINK("https://creighton-primo.hosted.exlibrisgroup.com/primo-explore/search?tab=default_tab&amp;search_scope=EVERYTHING&amp;vid=01CRU&amp;lang=en_US&amp;offset=0&amp;query=any,contains,991004322539702656","Catalog Record")</f>
        <v/>
      </c>
      <c r="AV403">
        <f>HYPERLINK("http://www.worldcat.org/oclc/3022438","WorldCat Record")</f>
        <v/>
      </c>
      <c r="AW403" t="inlineStr">
        <is>
          <t>466124:eng</t>
        </is>
      </c>
      <c r="AX403" t="inlineStr">
        <is>
          <t>3022438</t>
        </is>
      </c>
      <c r="AY403" t="inlineStr">
        <is>
          <t>991004322539702656</t>
        </is>
      </c>
      <c r="AZ403" t="inlineStr">
        <is>
          <t>991004322539702656</t>
        </is>
      </c>
      <c r="BA403" t="inlineStr">
        <is>
          <t>2261496710002656</t>
        </is>
      </c>
      <c r="BB403" t="inlineStr">
        <is>
          <t>BOOK</t>
        </is>
      </c>
      <c r="BD403" t="inlineStr">
        <is>
          <t>9780809118830</t>
        </is>
      </c>
      <c r="BE403" t="inlineStr">
        <is>
          <t>32285000322528</t>
        </is>
      </c>
      <c r="BF403" t="inlineStr">
        <is>
          <t>893712447</t>
        </is>
      </c>
    </row>
    <row r="404">
      <c r="A404" t="inlineStr">
        <is>
          <t>No</t>
        </is>
      </c>
      <c r="B404" t="inlineStr">
        <is>
          <t>CURAL</t>
        </is>
      </c>
      <c r="C404" t="inlineStr">
        <is>
          <t>SHELVES</t>
        </is>
      </c>
      <c r="D404" t="inlineStr">
        <is>
          <t>BL54 .M53</t>
        </is>
      </c>
      <c r="E404" t="inlineStr">
        <is>
          <t>0                      BL 0054000M  53</t>
        </is>
      </c>
      <c r="F404" t="inlineStr">
        <is>
          <t>Understanding speaking in tongues, by Watson E. Mills.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Mills, Watson E.</t>
        </is>
      </c>
      <c r="N404" t="inlineStr">
        <is>
          <t>Grand Rapids, W. B. Eerdmans Pub. Co. [1972]</t>
        </is>
      </c>
      <c r="O404" t="inlineStr">
        <is>
          <t>1972</t>
        </is>
      </c>
      <c r="Q404" t="inlineStr">
        <is>
          <t>eng</t>
        </is>
      </c>
      <c r="R404" t="inlineStr">
        <is>
          <t>miu</t>
        </is>
      </c>
      <c r="T404" t="inlineStr">
        <is>
          <t xml:space="preserve">BL </t>
        </is>
      </c>
      <c r="U404" t="n">
        <v>4</v>
      </c>
      <c r="V404" t="n">
        <v>4</v>
      </c>
      <c r="W404" t="inlineStr">
        <is>
          <t>2007-06-21</t>
        </is>
      </c>
      <c r="X404" t="inlineStr">
        <is>
          <t>2007-06-21</t>
        </is>
      </c>
      <c r="Y404" t="inlineStr">
        <is>
          <t>1990-02-21</t>
        </is>
      </c>
      <c r="Z404" t="inlineStr">
        <is>
          <t>1990-02-21</t>
        </is>
      </c>
      <c r="AA404" t="n">
        <v>352</v>
      </c>
      <c r="AB404" t="n">
        <v>320</v>
      </c>
      <c r="AC404" t="n">
        <v>325</v>
      </c>
      <c r="AD404" t="n">
        <v>4</v>
      </c>
      <c r="AE404" t="n">
        <v>4</v>
      </c>
      <c r="AF404" t="n">
        <v>11</v>
      </c>
      <c r="AG404" t="n">
        <v>11</v>
      </c>
      <c r="AH404" t="n">
        <v>4</v>
      </c>
      <c r="AI404" t="n">
        <v>4</v>
      </c>
      <c r="AJ404" t="n">
        <v>2</v>
      </c>
      <c r="AK404" t="n">
        <v>2</v>
      </c>
      <c r="AL404" t="n">
        <v>3</v>
      </c>
      <c r="AM404" t="n">
        <v>3</v>
      </c>
      <c r="AN404" t="n">
        <v>2</v>
      </c>
      <c r="AO404" t="n">
        <v>2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HYPERLINK("https://creighton-primo.hosted.exlibrisgroup.com/primo-explore/search?tab=default_tab&amp;search_scope=EVERYTHING&amp;vid=01CRU&amp;lang=en_US&amp;offset=0&amp;query=any,contains,991001927339702656","Catalog Record")</f>
        <v/>
      </c>
      <c r="AV404">
        <f>HYPERLINK("http://www.worldcat.org/oclc/247300","WorldCat Record")</f>
        <v/>
      </c>
      <c r="AW404" t="inlineStr">
        <is>
          <t>1404690:eng</t>
        </is>
      </c>
      <c r="AX404" t="inlineStr">
        <is>
          <t>247300</t>
        </is>
      </c>
      <c r="AY404" t="inlineStr">
        <is>
          <t>991001927339702656</t>
        </is>
      </c>
      <c r="AZ404" t="inlineStr">
        <is>
          <t>991001927339702656</t>
        </is>
      </c>
      <c r="BA404" t="inlineStr">
        <is>
          <t>2257900080002656</t>
        </is>
      </c>
      <c r="BB404" t="inlineStr">
        <is>
          <t>BOOK</t>
        </is>
      </c>
      <c r="BE404" t="inlineStr">
        <is>
          <t>32285000058189</t>
        </is>
      </c>
      <c r="BF404" t="inlineStr">
        <is>
          <t>893503822</t>
        </is>
      </c>
    </row>
    <row r="405">
      <c r="A405" t="inlineStr">
        <is>
          <t>No</t>
        </is>
      </c>
      <c r="B405" t="inlineStr">
        <is>
          <t>CURAL</t>
        </is>
      </c>
      <c r="C405" t="inlineStr">
        <is>
          <t>SHELVES</t>
        </is>
      </c>
      <c r="D405" t="inlineStr">
        <is>
          <t>BL54 .S24</t>
        </is>
      </c>
      <c r="E405" t="inlineStr">
        <is>
          <t>0                      BL 0054000S  24</t>
        </is>
      </c>
      <c r="F405" t="inlineStr">
        <is>
          <t>Tongues of men and angels; the religious language of Pentecostalism, by William J. Samarin.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Samarin, William J.</t>
        </is>
      </c>
      <c r="N405" t="inlineStr">
        <is>
          <t>New York, Macmillan [1972]</t>
        </is>
      </c>
      <c r="O405" t="inlineStr">
        <is>
          <t>1972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BL </t>
        </is>
      </c>
      <c r="U405" t="n">
        <v>2</v>
      </c>
      <c r="V405" t="n">
        <v>2</v>
      </c>
      <c r="W405" t="inlineStr">
        <is>
          <t>2007-06-21</t>
        </is>
      </c>
      <c r="X405" t="inlineStr">
        <is>
          <t>2007-06-21</t>
        </is>
      </c>
      <c r="Y405" t="inlineStr">
        <is>
          <t>1990-02-19</t>
        </is>
      </c>
      <c r="Z405" t="inlineStr">
        <is>
          <t>1990-02-19</t>
        </is>
      </c>
      <c r="AA405" t="n">
        <v>736</v>
      </c>
      <c r="AB405" t="n">
        <v>622</v>
      </c>
      <c r="AC405" t="n">
        <v>624</v>
      </c>
      <c r="AD405" t="n">
        <v>6</v>
      </c>
      <c r="AE405" t="n">
        <v>6</v>
      </c>
      <c r="AF405" t="n">
        <v>30</v>
      </c>
      <c r="AG405" t="n">
        <v>30</v>
      </c>
      <c r="AH405" t="n">
        <v>10</v>
      </c>
      <c r="AI405" t="n">
        <v>10</v>
      </c>
      <c r="AJ405" t="n">
        <v>7</v>
      </c>
      <c r="AK405" t="n">
        <v>7</v>
      </c>
      <c r="AL405" t="n">
        <v>14</v>
      </c>
      <c r="AM405" t="n">
        <v>14</v>
      </c>
      <c r="AN405" t="n">
        <v>5</v>
      </c>
      <c r="AO405" t="n">
        <v>5</v>
      </c>
      <c r="AP405" t="n">
        <v>0</v>
      </c>
      <c r="AQ405" t="n">
        <v>0</v>
      </c>
      <c r="AR405" t="inlineStr">
        <is>
          <t>No</t>
        </is>
      </c>
      <c r="AS405" t="inlineStr">
        <is>
          <t>No</t>
        </is>
      </c>
      <c r="AU405">
        <f>HYPERLINK("https://creighton-primo.hosted.exlibrisgroup.com/primo-explore/search?tab=default_tab&amp;search_scope=EVERYTHING&amp;vid=01CRU&amp;lang=en_US&amp;offset=0&amp;query=any,contains,991002271829702656","Catalog Record")</f>
        <v/>
      </c>
      <c r="AV405">
        <f>HYPERLINK("http://www.worldcat.org/oclc/308527","WorldCat Record")</f>
        <v/>
      </c>
      <c r="AW405" t="inlineStr">
        <is>
          <t>1364010:eng</t>
        </is>
      </c>
      <c r="AX405" t="inlineStr">
        <is>
          <t>308527</t>
        </is>
      </c>
      <c r="AY405" t="inlineStr">
        <is>
          <t>991002271829702656</t>
        </is>
      </c>
      <c r="AZ405" t="inlineStr">
        <is>
          <t>991002271829702656</t>
        </is>
      </c>
      <c r="BA405" t="inlineStr">
        <is>
          <t>2266155610002656</t>
        </is>
      </c>
      <c r="BB405" t="inlineStr">
        <is>
          <t>BOOK</t>
        </is>
      </c>
      <c r="BE405" t="inlineStr">
        <is>
          <t>32285000054592</t>
        </is>
      </c>
      <c r="BF405" t="inlineStr">
        <is>
          <t>893773415</t>
        </is>
      </c>
    </row>
    <row r="406">
      <c r="A406" t="inlineStr">
        <is>
          <t>No</t>
        </is>
      </c>
      <c r="B406" t="inlineStr">
        <is>
          <t>CURAL</t>
        </is>
      </c>
      <c r="C406" t="inlineStr">
        <is>
          <t>SHELVES</t>
        </is>
      </c>
      <c r="D406" t="inlineStr">
        <is>
          <t>BL55 .D3 1929b</t>
        </is>
      </c>
      <c r="E406" t="inlineStr">
        <is>
          <t>0                      BL 0055000D  3           1929b</t>
        </is>
      </c>
      <c r="F406" t="inlineStr">
        <is>
          <t>Progress and religion : an historical enquiry / [by] Christopher Dawson.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M406" t="inlineStr">
        <is>
          <t>Dawson, Christopher, 1889-1970.</t>
        </is>
      </c>
      <c r="N406" t="inlineStr">
        <is>
          <t>New York ; London : Longmans, Green, 1929.</t>
        </is>
      </c>
      <c r="O406" t="inlineStr">
        <is>
          <t>1929</t>
        </is>
      </c>
      <c r="Q406" t="inlineStr">
        <is>
          <t>eng</t>
        </is>
      </c>
      <c r="R406" t="inlineStr">
        <is>
          <t>___</t>
        </is>
      </c>
      <c r="T406" t="inlineStr">
        <is>
          <t xml:space="preserve">BL </t>
        </is>
      </c>
      <c r="U406" t="n">
        <v>2</v>
      </c>
      <c r="V406" t="n">
        <v>2</v>
      </c>
      <c r="W406" t="inlineStr">
        <is>
          <t>2010-02-23</t>
        </is>
      </c>
      <c r="X406" t="inlineStr">
        <is>
          <t>2010-02-23</t>
        </is>
      </c>
      <c r="Y406" t="inlineStr">
        <is>
          <t>1990-09-27</t>
        </is>
      </c>
      <c r="Z406" t="inlineStr">
        <is>
          <t>1990-09-27</t>
        </is>
      </c>
      <c r="AA406" t="n">
        <v>66</v>
      </c>
      <c r="AB406" t="n">
        <v>60</v>
      </c>
      <c r="AC406" t="n">
        <v>489</v>
      </c>
      <c r="AD406" t="n">
        <v>2</v>
      </c>
      <c r="AE406" t="n">
        <v>5</v>
      </c>
      <c r="AF406" t="n">
        <v>5</v>
      </c>
      <c r="AG406" t="n">
        <v>40</v>
      </c>
      <c r="AH406" t="n">
        <v>0</v>
      </c>
      <c r="AI406" t="n">
        <v>14</v>
      </c>
      <c r="AJ406" t="n">
        <v>1</v>
      </c>
      <c r="AK406" t="n">
        <v>10</v>
      </c>
      <c r="AL406" t="n">
        <v>4</v>
      </c>
      <c r="AM406" t="n">
        <v>25</v>
      </c>
      <c r="AN406" t="n">
        <v>0</v>
      </c>
      <c r="AO406" t="n">
        <v>3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HYPERLINK("https://creighton-primo.hosted.exlibrisgroup.com/primo-explore/search?tab=default_tab&amp;search_scope=EVERYTHING&amp;vid=01CRU&amp;lang=en_US&amp;offset=0&amp;query=any,contains,991003750379702656","Catalog Record")</f>
        <v/>
      </c>
      <c r="AV406">
        <f>HYPERLINK("http://www.worldcat.org/oclc/1425686","WorldCat Record")</f>
        <v/>
      </c>
      <c r="AW406" t="inlineStr">
        <is>
          <t>357531:eng</t>
        </is>
      </c>
      <c r="AX406" t="inlineStr">
        <is>
          <t>1425686</t>
        </is>
      </c>
      <c r="AY406" t="inlineStr">
        <is>
          <t>991003750379702656</t>
        </is>
      </c>
      <c r="AZ406" t="inlineStr">
        <is>
          <t>991003750379702656</t>
        </is>
      </c>
      <c r="BA406" t="inlineStr">
        <is>
          <t>2272335560002656</t>
        </is>
      </c>
      <c r="BB406" t="inlineStr">
        <is>
          <t>BOOK</t>
        </is>
      </c>
      <c r="BE406" t="inlineStr">
        <is>
          <t>32285000322577</t>
        </is>
      </c>
      <c r="BF406" t="inlineStr">
        <is>
          <t>893598936</t>
        </is>
      </c>
    </row>
    <row r="407">
      <c r="A407" t="inlineStr">
        <is>
          <t>No</t>
        </is>
      </c>
      <c r="B407" t="inlineStr">
        <is>
          <t>CURAL</t>
        </is>
      </c>
      <c r="C407" t="inlineStr">
        <is>
          <t>SHELVES</t>
        </is>
      </c>
      <c r="D407" t="inlineStr">
        <is>
          <t>BL55 .R128R3</t>
        </is>
      </c>
      <c r="E407" t="inlineStr">
        <is>
          <t>0                      BL 0055000R  128                R  3</t>
        </is>
      </c>
      <c r="F407" t="inlineStr">
        <is>
          <t>Religion in a changing world, [by] Sarvepalli Radhakrishnan.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Radhakrishnan, S. (Sarvepalli), 1888-1975.</t>
        </is>
      </c>
      <c r="N407" t="inlineStr">
        <is>
          <t>London, Allen and Unwin; New York, Humanities Press [1967]</t>
        </is>
      </c>
      <c r="O407" t="inlineStr">
        <is>
          <t>1967</t>
        </is>
      </c>
      <c r="Q407" t="inlineStr">
        <is>
          <t>eng</t>
        </is>
      </c>
      <c r="R407" t="inlineStr">
        <is>
          <t>___</t>
        </is>
      </c>
      <c r="T407" t="inlineStr">
        <is>
          <t xml:space="preserve">BL </t>
        </is>
      </c>
      <c r="U407" t="n">
        <v>1</v>
      </c>
      <c r="V407" t="n">
        <v>1</v>
      </c>
      <c r="W407" t="inlineStr">
        <is>
          <t>1992-10-28</t>
        </is>
      </c>
      <c r="X407" t="inlineStr">
        <is>
          <t>1992-10-28</t>
        </is>
      </c>
      <c r="Y407" t="inlineStr">
        <is>
          <t>1990-09-27</t>
        </is>
      </c>
      <c r="Z407" t="inlineStr">
        <is>
          <t>1990-09-27</t>
        </is>
      </c>
      <c r="AA407" t="n">
        <v>301</v>
      </c>
      <c r="AB407" t="n">
        <v>218</v>
      </c>
      <c r="AC407" t="n">
        <v>223</v>
      </c>
      <c r="AD407" t="n">
        <v>2</v>
      </c>
      <c r="AE407" t="n">
        <v>2</v>
      </c>
      <c r="AF407" t="n">
        <v>9</v>
      </c>
      <c r="AG407" t="n">
        <v>9</v>
      </c>
      <c r="AH407" t="n">
        <v>1</v>
      </c>
      <c r="AI407" t="n">
        <v>1</v>
      </c>
      <c r="AJ407" t="n">
        <v>2</v>
      </c>
      <c r="AK407" t="n">
        <v>2</v>
      </c>
      <c r="AL407" t="n">
        <v>6</v>
      </c>
      <c r="AM407" t="n">
        <v>6</v>
      </c>
      <c r="AN407" t="n">
        <v>1</v>
      </c>
      <c r="AO407" t="n">
        <v>1</v>
      </c>
      <c r="AP407" t="n">
        <v>0</v>
      </c>
      <c r="AQ407" t="n">
        <v>0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HYPERLINK("http://catalog.hathitrust.org/Record/001391489","HathiTrust Record")</f>
        <v/>
      </c>
      <c r="AU407">
        <f>HYPERLINK("https://creighton-primo.hosted.exlibrisgroup.com/primo-explore/search?tab=default_tab&amp;search_scope=EVERYTHING&amp;vid=01CRU&amp;lang=en_US&amp;offset=0&amp;query=any,contains,991002481409702656","Catalog Record")</f>
        <v/>
      </c>
      <c r="AV407">
        <f>HYPERLINK("http://www.worldcat.org/oclc/359836","WorldCat Record")</f>
        <v/>
      </c>
      <c r="AW407" t="inlineStr">
        <is>
          <t>1410111:eng</t>
        </is>
      </c>
      <c r="AX407" t="inlineStr">
        <is>
          <t>359836</t>
        </is>
      </c>
      <c r="AY407" t="inlineStr">
        <is>
          <t>991002481409702656</t>
        </is>
      </c>
      <c r="AZ407" t="inlineStr">
        <is>
          <t>991002481409702656</t>
        </is>
      </c>
      <c r="BA407" t="inlineStr">
        <is>
          <t>2272398020002656</t>
        </is>
      </c>
      <c r="BB407" t="inlineStr">
        <is>
          <t>BOOK</t>
        </is>
      </c>
      <c r="BE407" t="inlineStr">
        <is>
          <t>32285000322601</t>
        </is>
      </c>
      <c r="BF407" t="inlineStr">
        <is>
          <t>893433935</t>
        </is>
      </c>
    </row>
    <row r="408">
      <c r="A408" t="inlineStr">
        <is>
          <t>No</t>
        </is>
      </c>
      <c r="B408" t="inlineStr">
        <is>
          <t>CURAL</t>
        </is>
      </c>
      <c r="C408" t="inlineStr">
        <is>
          <t>SHELVES</t>
        </is>
      </c>
      <c r="D408" t="inlineStr">
        <is>
          <t>BL55.D39 O2</t>
        </is>
      </c>
      <c r="E408" t="inlineStr">
        <is>
          <t>0                      BL 0055000D  39                 O  2</t>
        </is>
      </c>
      <c r="F408" t="inlineStr">
        <is>
          <t>The relation between religion and culture according to Christopher Dawson : (a synthesis of Christopher Dawson 's writings).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M408" t="inlineStr">
        <is>
          <t>O'Connor, Daniel A.</t>
        </is>
      </c>
      <c r="N408" t="inlineStr">
        <is>
          <t>Montréal : Librairie Saint-Viateur, 1952.</t>
        </is>
      </c>
      <c r="O408" t="inlineStr">
        <is>
          <t>1952</t>
        </is>
      </c>
      <c r="Q408" t="inlineStr">
        <is>
          <t>eng</t>
        </is>
      </c>
      <c r="R408" t="inlineStr">
        <is>
          <t xml:space="preserve">xx </t>
        </is>
      </c>
      <c r="S408" t="inlineStr">
        <is>
          <t>Collection de l'Ecole des sciences politiques et sociales de l'Université de Louvain, no. 145.</t>
        </is>
      </c>
      <c r="T408" t="inlineStr">
        <is>
          <t xml:space="preserve">BL </t>
        </is>
      </c>
      <c r="U408" t="n">
        <v>1</v>
      </c>
      <c r="V408" t="n">
        <v>1</v>
      </c>
      <c r="W408" t="inlineStr">
        <is>
          <t>1996-02-07</t>
        </is>
      </c>
      <c r="X408" t="inlineStr">
        <is>
          <t>1996-02-07</t>
        </is>
      </c>
      <c r="Y408" t="inlineStr">
        <is>
          <t>1990-09-27</t>
        </is>
      </c>
      <c r="Z408" t="inlineStr">
        <is>
          <t>1990-09-27</t>
        </is>
      </c>
      <c r="AA408" t="n">
        <v>110</v>
      </c>
      <c r="AB408" t="n">
        <v>96</v>
      </c>
      <c r="AC408" t="n">
        <v>104</v>
      </c>
      <c r="AD408" t="n">
        <v>1</v>
      </c>
      <c r="AE408" t="n">
        <v>1</v>
      </c>
      <c r="AF408" t="n">
        <v>27</v>
      </c>
      <c r="AG408" t="n">
        <v>27</v>
      </c>
      <c r="AH408" t="n">
        <v>9</v>
      </c>
      <c r="AI408" t="n">
        <v>9</v>
      </c>
      <c r="AJ408" t="n">
        <v>6</v>
      </c>
      <c r="AK408" t="n">
        <v>6</v>
      </c>
      <c r="AL408" t="n">
        <v>21</v>
      </c>
      <c r="AM408" t="n">
        <v>21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HYPERLINK("https://creighton-primo.hosted.exlibrisgroup.com/primo-explore/search?tab=default_tab&amp;search_scope=EVERYTHING&amp;vid=01CRU&amp;lang=en_US&amp;offset=0&amp;query=any,contains,991004401439702656","Catalog Record")</f>
        <v/>
      </c>
      <c r="AV408">
        <f>HYPERLINK("http://www.worldcat.org/oclc/3301558","WorldCat Record")</f>
        <v/>
      </c>
      <c r="AW408" t="inlineStr">
        <is>
          <t>434480318:eng</t>
        </is>
      </c>
      <c r="AX408" t="inlineStr">
        <is>
          <t>3301558</t>
        </is>
      </c>
      <c r="AY408" t="inlineStr">
        <is>
          <t>991004401439702656</t>
        </is>
      </c>
      <c r="AZ408" t="inlineStr">
        <is>
          <t>991004401439702656</t>
        </is>
      </c>
      <c r="BA408" t="inlineStr">
        <is>
          <t>2264515070002656</t>
        </is>
      </c>
      <c r="BB408" t="inlineStr">
        <is>
          <t>BOOK</t>
        </is>
      </c>
      <c r="BE408" t="inlineStr">
        <is>
          <t>32285000322593</t>
        </is>
      </c>
      <c r="BF408" t="inlineStr">
        <is>
          <t>893535963</t>
        </is>
      </c>
    </row>
    <row r="409">
      <c r="A409" t="inlineStr">
        <is>
          <t>No</t>
        </is>
      </c>
      <c r="B409" t="inlineStr">
        <is>
          <t>CURAL</t>
        </is>
      </c>
      <c r="C409" t="inlineStr">
        <is>
          <t>SHELVES</t>
        </is>
      </c>
      <c r="D409" t="inlineStr">
        <is>
          <t>BL550 .P3 1975</t>
        </is>
      </c>
      <c r="E409" t="inlineStr">
        <is>
          <t>0                      BL 0550000P  3           1975</t>
        </is>
      </c>
      <c r="F409" t="inlineStr">
        <is>
          <t>Worship in the world's religions / by Geoffrey Parrinder.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Parrinder, Geoffrey.</t>
        </is>
      </c>
      <c r="N409" t="inlineStr">
        <is>
          <t>Totowa, N.J. : Littlefield, Adams, 1976, c1961.</t>
        </is>
      </c>
      <c r="O409" t="inlineStr">
        <is>
          <t>1976</t>
        </is>
      </c>
      <c r="Q409" t="inlineStr">
        <is>
          <t>eng</t>
        </is>
      </c>
      <c r="R409" t="inlineStr">
        <is>
          <t>nju</t>
        </is>
      </c>
      <c r="S409" t="inlineStr">
        <is>
          <t>A Littlefield, Adams quality paperback ; no. 316</t>
        </is>
      </c>
      <c r="T409" t="inlineStr">
        <is>
          <t xml:space="preserve">BL </t>
        </is>
      </c>
      <c r="U409" t="n">
        <v>1</v>
      </c>
      <c r="V409" t="n">
        <v>1</v>
      </c>
      <c r="W409" t="inlineStr">
        <is>
          <t>2002-04-26</t>
        </is>
      </c>
      <c r="X409" t="inlineStr">
        <is>
          <t>2002-04-26</t>
        </is>
      </c>
      <c r="Y409" t="inlineStr">
        <is>
          <t>1990-10-11</t>
        </is>
      </c>
      <c r="Z409" t="inlineStr">
        <is>
          <t>1990-10-11</t>
        </is>
      </c>
      <c r="AA409" t="n">
        <v>163</v>
      </c>
      <c r="AB409" t="n">
        <v>157</v>
      </c>
      <c r="AC409" t="n">
        <v>511</v>
      </c>
      <c r="AD409" t="n">
        <v>1</v>
      </c>
      <c r="AE409" t="n">
        <v>2</v>
      </c>
      <c r="AF409" t="n">
        <v>8</v>
      </c>
      <c r="AG409" t="n">
        <v>24</v>
      </c>
      <c r="AH409" t="n">
        <v>4</v>
      </c>
      <c r="AI409" t="n">
        <v>10</v>
      </c>
      <c r="AJ409" t="n">
        <v>2</v>
      </c>
      <c r="AK409" t="n">
        <v>6</v>
      </c>
      <c r="AL409" t="n">
        <v>7</v>
      </c>
      <c r="AM409" t="n">
        <v>16</v>
      </c>
      <c r="AN409" t="n">
        <v>0</v>
      </c>
      <c r="AO409" t="n">
        <v>1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HYPERLINK("http://catalog.hathitrust.org/Record/000040809","HathiTrust Record")</f>
        <v/>
      </c>
      <c r="AU409">
        <f>HYPERLINK("https://creighton-primo.hosted.exlibrisgroup.com/primo-explore/search?tab=default_tab&amp;search_scope=EVERYTHING&amp;vid=01CRU&amp;lang=en_US&amp;offset=0&amp;query=any,contains,991003885699702656","Catalog Record")</f>
        <v/>
      </c>
      <c r="AV409">
        <f>HYPERLINK("http://www.worldcat.org/oclc/1735559","WorldCat Record")</f>
        <v/>
      </c>
      <c r="AW409" t="inlineStr">
        <is>
          <t>487715:eng</t>
        </is>
      </c>
      <c r="AX409" t="inlineStr">
        <is>
          <t>1735559</t>
        </is>
      </c>
      <c r="AY409" t="inlineStr">
        <is>
          <t>991003885699702656</t>
        </is>
      </c>
      <c r="AZ409" t="inlineStr">
        <is>
          <t>991003885699702656</t>
        </is>
      </c>
      <c r="BA409" t="inlineStr">
        <is>
          <t>2272232150002656</t>
        </is>
      </c>
      <c r="BB409" t="inlineStr">
        <is>
          <t>BOOK</t>
        </is>
      </c>
      <c r="BD409" t="inlineStr">
        <is>
          <t>9780822603160</t>
        </is>
      </c>
      <c r="BE409" t="inlineStr">
        <is>
          <t>32285000345966</t>
        </is>
      </c>
      <c r="BF409" t="inlineStr">
        <is>
          <t>893810238</t>
        </is>
      </c>
    </row>
    <row r="410">
      <c r="A410" t="inlineStr">
        <is>
          <t>No</t>
        </is>
      </c>
      <c r="B410" t="inlineStr">
        <is>
          <t>CURAL</t>
        </is>
      </c>
      <c r="C410" t="inlineStr">
        <is>
          <t>SHELVES</t>
        </is>
      </c>
      <c r="D410" t="inlineStr">
        <is>
          <t>BL586 .T465 1988</t>
        </is>
      </c>
      <c r="E410" t="inlineStr">
        <is>
          <t>0                      BL 0586000T  465         1988</t>
        </is>
      </c>
      <c r="F410" t="inlineStr">
        <is>
          <t>Temple in society / edited by Michael V. Fox.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Winona Lake : Eisenbrauns, 1988.</t>
        </is>
      </c>
      <c r="O410" t="inlineStr">
        <is>
          <t>1988</t>
        </is>
      </c>
      <c r="Q410" t="inlineStr">
        <is>
          <t>eng</t>
        </is>
      </c>
      <c r="R410" t="inlineStr">
        <is>
          <t>inu</t>
        </is>
      </c>
      <c r="T410" t="inlineStr">
        <is>
          <t xml:space="preserve">BL </t>
        </is>
      </c>
      <c r="U410" t="n">
        <v>1</v>
      </c>
      <c r="V410" t="n">
        <v>1</v>
      </c>
      <c r="W410" t="inlineStr">
        <is>
          <t>1994-04-19</t>
        </is>
      </c>
      <c r="X410" t="inlineStr">
        <is>
          <t>1994-04-19</t>
        </is>
      </c>
      <c r="Y410" t="inlineStr">
        <is>
          <t>1990-10-11</t>
        </is>
      </c>
      <c r="Z410" t="inlineStr">
        <is>
          <t>1990-10-11</t>
        </is>
      </c>
      <c r="AA410" t="n">
        <v>383</v>
      </c>
      <c r="AB410" t="n">
        <v>302</v>
      </c>
      <c r="AC410" t="n">
        <v>303</v>
      </c>
      <c r="AD410" t="n">
        <v>2</v>
      </c>
      <c r="AE410" t="n">
        <v>2</v>
      </c>
      <c r="AF410" t="n">
        <v>13</v>
      </c>
      <c r="AG410" t="n">
        <v>13</v>
      </c>
      <c r="AH410" t="n">
        <v>4</v>
      </c>
      <c r="AI410" t="n">
        <v>4</v>
      </c>
      <c r="AJ410" t="n">
        <v>2</v>
      </c>
      <c r="AK410" t="n">
        <v>2</v>
      </c>
      <c r="AL410" t="n">
        <v>9</v>
      </c>
      <c r="AM410" t="n">
        <v>9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HYPERLINK("http://catalog.hathitrust.org/Record/101904097","HathiTrust Record")</f>
        <v/>
      </c>
      <c r="AU410">
        <f>HYPERLINK("https://creighton-primo.hosted.exlibrisgroup.com/primo-explore/search?tab=default_tab&amp;search_scope=EVERYTHING&amp;vid=01CRU&amp;lang=en_US&amp;offset=0&amp;query=any,contains,991001241099702656","Catalog Record")</f>
        <v/>
      </c>
      <c r="AV410">
        <f>HYPERLINK("http://www.worldcat.org/oclc/17619683","WorldCat Record")</f>
        <v/>
      </c>
      <c r="AW410" t="inlineStr">
        <is>
          <t>15717066:eng</t>
        </is>
      </c>
      <c r="AX410" t="inlineStr">
        <is>
          <t>17619683</t>
        </is>
      </c>
      <c r="AY410" t="inlineStr">
        <is>
          <t>991001241099702656</t>
        </is>
      </c>
      <c r="AZ410" t="inlineStr">
        <is>
          <t>991001241099702656</t>
        </is>
      </c>
      <c r="BA410" t="inlineStr">
        <is>
          <t>2257690820002656</t>
        </is>
      </c>
      <c r="BB410" t="inlineStr">
        <is>
          <t>BOOK</t>
        </is>
      </c>
      <c r="BD410" t="inlineStr">
        <is>
          <t>9780931464386</t>
        </is>
      </c>
      <c r="BE410" t="inlineStr">
        <is>
          <t>32285000346022</t>
        </is>
      </c>
      <c r="BF410" t="inlineStr">
        <is>
          <t>893315630</t>
        </is>
      </c>
    </row>
    <row r="411">
      <c r="A411" t="inlineStr">
        <is>
          <t>No</t>
        </is>
      </c>
      <c r="B411" t="inlineStr">
        <is>
          <t>CURAL</t>
        </is>
      </c>
      <c r="C411" t="inlineStr">
        <is>
          <t>SHELVES</t>
        </is>
      </c>
      <c r="D411" t="inlineStr">
        <is>
          <t>BL60 .B48</t>
        </is>
      </c>
      <c r="E411" t="inlineStr">
        <is>
          <t>0                      BL 0060000B  48</t>
        </is>
      </c>
      <c r="F411" t="inlineStr">
        <is>
          <t>Sociology and religion; a book of readings [by] Norman Birnbaum [and] Gertrud Lenzer.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Birnbaum, Norman compiler.</t>
        </is>
      </c>
      <c r="N411" t="inlineStr">
        <is>
          <t>Englewood Cliffs, N.J., Prentice-Hall [1969]</t>
        </is>
      </c>
      <c r="O411" t="inlineStr">
        <is>
          <t>1969</t>
        </is>
      </c>
      <c r="Q411" t="inlineStr">
        <is>
          <t>eng</t>
        </is>
      </c>
      <c r="R411" t="inlineStr">
        <is>
          <t>nju</t>
        </is>
      </c>
      <c r="T411" t="inlineStr">
        <is>
          <t xml:space="preserve">BL </t>
        </is>
      </c>
      <c r="U411" t="n">
        <v>5</v>
      </c>
      <c r="V411" t="n">
        <v>5</v>
      </c>
      <c r="W411" t="inlineStr">
        <is>
          <t>1998-11-20</t>
        </is>
      </c>
      <c r="X411" t="inlineStr">
        <is>
          <t>1998-11-20</t>
        </is>
      </c>
      <c r="Y411" t="inlineStr">
        <is>
          <t>1990-09-27</t>
        </is>
      </c>
      <c r="Z411" t="inlineStr">
        <is>
          <t>1990-09-27</t>
        </is>
      </c>
      <c r="AA411" t="n">
        <v>768</v>
      </c>
      <c r="AB411" t="n">
        <v>589</v>
      </c>
      <c r="AC411" t="n">
        <v>589</v>
      </c>
      <c r="AD411" t="n">
        <v>7</v>
      </c>
      <c r="AE411" t="n">
        <v>7</v>
      </c>
      <c r="AF411" t="n">
        <v>35</v>
      </c>
      <c r="AG411" t="n">
        <v>35</v>
      </c>
      <c r="AH411" t="n">
        <v>15</v>
      </c>
      <c r="AI411" t="n">
        <v>15</v>
      </c>
      <c r="AJ411" t="n">
        <v>7</v>
      </c>
      <c r="AK411" t="n">
        <v>7</v>
      </c>
      <c r="AL411" t="n">
        <v>18</v>
      </c>
      <c r="AM411" t="n">
        <v>18</v>
      </c>
      <c r="AN411" t="n">
        <v>5</v>
      </c>
      <c r="AO411" t="n">
        <v>5</v>
      </c>
      <c r="AP411" t="n">
        <v>0</v>
      </c>
      <c r="AQ411" t="n">
        <v>0</v>
      </c>
      <c r="AR411" t="inlineStr">
        <is>
          <t>No</t>
        </is>
      </c>
      <c r="AS411" t="inlineStr">
        <is>
          <t>No</t>
        </is>
      </c>
      <c r="AU411">
        <f>HYPERLINK("https://creighton-primo.hosted.exlibrisgroup.com/primo-explore/search?tab=default_tab&amp;search_scope=EVERYTHING&amp;vid=01CRU&amp;lang=en_US&amp;offset=0&amp;query=any,contains,991005433569702656","Catalog Record")</f>
        <v/>
      </c>
      <c r="AV411">
        <f>HYPERLINK("http://www.worldcat.org/oclc/1896","WorldCat Record")</f>
        <v/>
      </c>
      <c r="AW411" t="inlineStr">
        <is>
          <t>836617892:eng</t>
        </is>
      </c>
      <c r="AX411" t="inlineStr">
        <is>
          <t>1896</t>
        </is>
      </c>
      <c r="AY411" t="inlineStr">
        <is>
          <t>991005433569702656</t>
        </is>
      </c>
      <c r="AZ411" t="inlineStr">
        <is>
          <t>991005433569702656</t>
        </is>
      </c>
      <c r="BA411" t="inlineStr">
        <is>
          <t>2271289480002656</t>
        </is>
      </c>
      <c r="BB411" t="inlineStr">
        <is>
          <t>BOOK</t>
        </is>
      </c>
      <c r="BE411" t="inlineStr">
        <is>
          <t>32285000322650</t>
        </is>
      </c>
      <c r="BF411" t="inlineStr">
        <is>
          <t>893431504</t>
        </is>
      </c>
    </row>
    <row r="412">
      <c r="A412" t="inlineStr">
        <is>
          <t>No</t>
        </is>
      </c>
      <c r="B412" t="inlineStr">
        <is>
          <t>CURAL</t>
        </is>
      </c>
      <c r="C412" t="inlineStr">
        <is>
          <t>SHELVES</t>
        </is>
      </c>
      <c r="D412" t="inlineStr">
        <is>
          <t>BL60 .B68</t>
        </is>
      </c>
      <c r="E412" t="inlineStr">
        <is>
          <t>0                      BL 0060000B  68</t>
        </is>
      </c>
      <c r="F412" t="inlineStr">
        <is>
          <t>Contemporary religion and social responsibility. Edited by Norbert Brockman [and] Nicholas Piediscalzi.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M412" t="inlineStr">
        <is>
          <t>Brockman, Norbert, compiler.</t>
        </is>
      </c>
      <c r="N412" t="inlineStr">
        <is>
          <t>New York, Alba House [1973]</t>
        </is>
      </c>
      <c r="O412" t="inlineStr">
        <is>
          <t>1973</t>
        </is>
      </c>
      <c r="Q412" t="inlineStr">
        <is>
          <t>eng</t>
        </is>
      </c>
      <c r="R412" t="inlineStr">
        <is>
          <t>nyu</t>
        </is>
      </c>
      <c r="T412" t="inlineStr">
        <is>
          <t xml:space="preserve">BL </t>
        </is>
      </c>
      <c r="U412" t="n">
        <v>4</v>
      </c>
      <c r="V412" t="n">
        <v>4</v>
      </c>
      <c r="W412" t="inlineStr">
        <is>
          <t>1998-11-20</t>
        </is>
      </c>
      <c r="X412" t="inlineStr">
        <is>
          <t>1998-11-20</t>
        </is>
      </c>
      <c r="Y412" t="inlineStr">
        <is>
          <t>1990-09-27</t>
        </is>
      </c>
      <c r="Z412" t="inlineStr">
        <is>
          <t>1990-09-27</t>
        </is>
      </c>
      <c r="AA412" t="n">
        <v>225</v>
      </c>
      <c r="AB412" t="n">
        <v>189</v>
      </c>
      <c r="AC412" t="n">
        <v>195</v>
      </c>
      <c r="AD412" t="n">
        <v>2</v>
      </c>
      <c r="AE412" t="n">
        <v>2</v>
      </c>
      <c r="AF412" t="n">
        <v>19</v>
      </c>
      <c r="AG412" t="n">
        <v>19</v>
      </c>
      <c r="AH412" t="n">
        <v>5</v>
      </c>
      <c r="AI412" t="n">
        <v>5</v>
      </c>
      <c r="AJ412" t="n">
        <v>5</v>
      </c>
      <c r="AK412" t="n">
        <v>5</v>
      </c>
      <c r="AL412" t="n">
        <v>14</v>
      </c>
      <c r="AM412" t="n">
        <v>14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HYPERLINK("http://catalog.hathitrust.org/Record/102072390","HathiTrust Record")</f>
        <v/>
      </c>
      <c r="AU412">
        <f>HYPERLINK("https://creighton-primo.hosted.exlibrisgroup.com/primo-explore/search?tab=default_tab&amp;search_scope=EVERYTHING&amp;vid=01CRU&amp;lang=en_US&amp;offset=0&amp;query=any,contains,991002899829702656","Catalog Record")</f>
        <v/>
      </c>
      <c r="AV412">
        <f>HYPERLINK("http://www.worldcat.org/oclc/516279","WorldCat Record")</f>
        <v/>
      </c>
      <c r="AW412" t="inlineStr">
        <is>
          <t>1498322:eng</t>
        </is>
      </c>
      <c r="AX412" t="inlineStr">
        <is>
          <t>516279</t>
        </is>
      </c>
      <c r="AY412" t="inlineStr">
        <is>
          <t>991002899829702656</t>
        </is>
      </c>
      <c r="AZ412" t="inlineStr">
        <is>
          <t>991002899829702656</t>
        </is>
      </c>
      <c r="BA412" t="inlineStr">
        <is>
          <t>2256647640002656</t>
        </is>
      </c>
      <c r="BB412" t="inlineStr">
        <is>
          <t>BOOK</t>
        </is>
      </c>
      <c r="BD412" t="inlineStr">
        <is>
          <t>9780818902574</t>
        </is>
      </c>
      <c r="BE412" t="inlineStr">
        <is>
          <t>32285000322668</t>
        </is>
      </c>
      <c r="BF412" t="inlineStr">
        <is>
          <t>893598040</t>
        </is>
      </c>
    </row>
    <row r="413">
      <c r="A413" t="inlineStr">
        <is>
          <t>No</t>
        </is>
      </c>
      <c r="B413" t="inlineStr">
        <is>
          <t>CURAL</t>
        </is>
      </c>
      <c r="C413" t="inlineStr">
        <is>
          <t>SHELVES</t>
        </is>
      </c>
      <c r="D413" t="inlineStr">
        <is>
          <t>BL60 .B7 1967</t>
        </is>
      </c>
      <c r="E413" t="inlineStr">
        <is>
          <t>0                      BL 0060000B  7           1967</t>
        </is>
      </c>
      <c r="F413" t="inlineStr">
        <is>
          <t>Readings in the sociology of religion.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Brothers, Joan, 1938-, editor.</t>
        </is>
      </c>
      <c r="N413" t="inlineStr">
        <is>
          <t>Oxford, New York, Pergamon Press [1967]</t>
        </is>
      </c>
      <c r="O413" t="inlineStr">
        <is>
          <t>1967</t>
        </is>
      </c>
      <c r="P413" t="inlineStr">
        <is>
          <t>[1st ed.]</t>
        </is>
      </c>
      <c r="Q413" t="inlineStr">
        <is>
          <t>eng</t>
        </is>
      </c>
      <c r="R413" t="inlineStr">
        <is>
          <t>enk</t>
        </is>
      </c>
      <c r="S413" t="inlineStr">
        <is>
          <t>The Commonwealth and international library. Readings in sociology</t>
        </is>
      </c>
      <c r="T413" t="inlineStr">
        <is>
          <t xml:space="preserve">BL </t>
        </is>
      </c>
      <c r="U413" t="n">
        <v>4</v>
      </c>
      <c r="V413" t="n">
        <v>4</v>
      </c>
      <c r="W413" t="inlineStr">
        <is>
          <t>1998-11-20</t>
        </is>
      </c>
      <c r="X413" t="inlineStr">
        <is>
          <t>1998-11-20</t>
        </is>
      </c>
      <c r="Y413" t="inlineStr">
        <is>
          <t>1990-09-27</t>
        </is>
      </c>
      <c r="Z413" t="inlineStr">
        <is>
          <t>1990-09-27</t>
        </is>
      </c>
      <c r="AA413" t="n">
        <v>595</v>
      </c>
      <c r="AB413" t="n">
        <v>434</v>
      </c>
      <c r="AC413" t="n">
        <v>475</v>
      </c>
      <c r="AD413" t="n">
        <v>4</v>
      </c>
      <c r="AE413" t="n">
        <v>4</v>
      </c>
      <c r="AF413" t="n">
        <v>23</v>
      </c>
      <c r="AG413" t="n">
        <v>25</v>
      </c>
      <c r="AH413" t="n">
        <v>9</v>
      </c>
      <c r="AI413" t="n">
        <v>11</v>
      </c>
      <c r="AJ413" t="n">
        <v>4</v>
      </c>
      <c r="AK413" t="n">
        <v>5</v>
      </c>
      <c r="AL413" t="n">
        <v>14</v>
      </c>
      <c r="AM413" t="n">
        <v>14</v>
      </c>
      <c r="AN413" t="n">
        <v>3</v>
      </c>
      <c r="AO413" t="n">
        <v>3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HYPERLINK("http://catalog.hathitrust.org/Record/001391498","HathiTrust Record")</f>
        <v/>
      </c>
      <c r="AU413">
        <f>HYPERLINK("https://creighton-primo.hosted.exlibrisgroup.com/primo-explore/search?tab=default_tab&amp;search_scope=EVERYTHING&amp;vid=01CRU&amp;lang=en_US&amp;offset=0&amp;query=any,contains,991004202309702656","Catalog Record")</f>
        <v/>
      </c>
      <c r="AV413">
        <f>HYPERLINK("http://www.worldcat.org/oclc/2655919","WorldCat Record")</f>
        <v/>
      </c>
      <c r="AW413" t="inlineStr">
        <is>
          <t>5540240:eng</t>
        </is>
      </c>
      <c r="AX413" t="inlineStr">
        <is>
          <t>2655919</t>
        </is>
      </c>
      <c r="AY413" t="inlineStr">
        <is>
          <t>991004202309702656</t>
        </is>
      </c>
      <c r="AZ413" t="inlineStr">
        <is>
          <t>991004202309702656</t>
        </is>
      </c>
      <c r="BA413" t="inlineStr">
        <is>
          <t>2256276220002656</t>
        </is>
      </c>
      <c r="BB413" t="inlineStr">
        <is>
          <t>BOOK</t>
        </is>
      </c>
      <c r="BE413" t="inlineStr">
        <is>
          <t>32285000322676</t>
        </is>
      </c>
      <c r="BF413" t="inlineStr">
        <is>
          <t>893605755</t>
        </is>
      </c>
    </row>
    <row r="414">
      <c r="A414" t="inlineStr">
        <is>
          <t>No</t>
        </is>
      </c>
      <c r="B414" t="inlineStr">
        <is>
          <t>CURAL</t>
        </is>
      </c>
      <c r="C414" t="inlineStr">
        <is>
          <t>SHELVES</t>
        </is>
      </c>
      <c r="D414" t="inlineStr">
        <is>
          <t>BL60 .C43 1989</t>
        </is>
      </c>
      <c r="E414" t="inlineStr">
        <is>
          <t>0                      BL 0060000C  43          1989</t>
        </is>
      </c>
      <c r="F414" t="inlineStr">
        <is>
          <t>The Changing face of religion / edited by James A. Beckford and Thomas Luckmann.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N414" t="inlineStr">
        <is>
          <t>London : Sage, 1989.</t>
        </is>
      </c>
      <c r="O414" t="inlineStr">
        <is>
          <t>1989</t>
        </is>
      </c>
      <c r="Q414" t="inlineStr">
        <is>
          <t>eng</t>
        </is>
      </c>
      <c r="R414" t="inlineStr">
        <is>
          <t>enk</t>
        </is>
      </c>
      <c r="S414" t="inlineStr">
        <is>
          <t>Sage studies in international sociology ; 37</t>
        </is>
      </c>
      <c r="T414" t="inlineStr">
        <is>
          <t xml:space="preserve">BL </t>
        </is>
      </c>
      <c r="U414" t="n">
        <v>2</v>
      </c>
      <c r="V414" t="n">
        <v>2</v>
      </c>
      <c r="W414" t="inlineStr">
        <is>
          <t>1994-03-22</t>
        </is>
      </c>
      <c r="X414" t="inlineStr">
        <is>
          <t>1994-03-22</t>
        </is>
      </c>
      <c r="Y414" t="inlineStr">
        <is>
          <t>1990-01-02</t>
        </is>
      </c>
      <c r="Z414" t="inlineStr">
        <is>
          <t>1990-01-02</t>
        </is>
      </c>
      <c r="AA414" t="n">
        <v>569</v>
      </c>
      <c r="AB414" t="n">
        <v>428</v>
      </c>
      <c r="AC414" t="n">
        <v>437</v>
      </c>
      <c r="AD414" t="n">
        <v>2</v>
      </c>
      <c r="AE414" t="n">
        <v>2</v>
      </c>
      <c r="AF414" t="n">
        <v>23</v>
      </c>
      <c r="AG414" t="n">
        <v>24</v>
      </c>
      <c r="AH414" t="n">
        <v>10</v>
      </c>
      <c r="AI414" t="n">
        <v>10</v>
      </c>
      <c r="AJ414" t="n">
        <v>5</v>
      </c>
      <c r="AK414" t="n">
        <v>5</v>
      </c>
      <c r="AL414" t="n">
        <v>14</v>
      </c>
      <c r="AM414" t="n">
        <v>15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HYPERLINK("http://catalog.hathitrust.org/Record/001825141","HathiTrust Record")</f>
        <v/>
      </c>
      <c r="AU414">
        <f>HYPERLINK("https://creighton-primo.hosted.exlibrisgroup.com/primo-explore/search?tab=default_tab&amp;search_scope=EVERYTHING&amp;vid=01CRU&amp;lang=en_US&amp;offset=0&amp;query=any,contains,991001453309702656","Catalog Record")</f>
        <v/>
      </c>
      <c r="AV414">
        <f>HYPERLINK("http://www.worldcat.org/oclc/23733091","WorldCat Record")</f>
        <v/>
      </c>
      <c r="AW414" t="inlineStr">
        <is>
          <t>365229128:eng</t>
        </is>
      </c>
      <c r="AX414" t="inlineStr">
        <is>
          <t>23733091</t>
        </is>
      </c>
      <c r="AY414" t="inlineStr">
        <is>
          <t>991001453309702656</t>
        </is>
      </c>
      <c r="AZ414" t="inlineStr">
        <is>
          <t>991001453309702656</t>
        </is>
      </c>
      <c r="BA414" t="inlineStr">
        <is>
          <t>2269585460002656</t>
        </is>
      </c>
      <c r="BB414" t="inlineStr">
        <is>
          <t>BOOK</t>
        </is>
      </c>
      <c r="BD414" t="inlineStr">
        <is>
          <t>9780803982116</t>
        </is>
      </c>
      <c r="BE414" t="inlineStr">
        <is>
          <t>32285000019827</t>
        </is>
      </c>
      <c r="BF414" t="inlineStr">
        <is>
          <t>893250252</t>
        </is>
      </c>
    </row>
    <row r="415">
      <c r="A415" t="inlineStr">
        <is>
          <t>No</t>
        </is>
      </c>
      <c r="B415" t="inlineStr">
        <is>
          <t>CURAL</t>
        </is>
      </c>
      <c r="C415" t="inlineStr">
        <is>
          <t>SHELVES</t>
        </is>
      </c>
      <c r="D415" t="inlineStr">
        <is>
          <t>BL60 .C47</t>
        </is>
      </c>
      <c r="E415" t="inlineStr">
        <is>
          <t>0                      BL 0060000C  47</t>
        </is>
      </c>
      <c r="F415" t="inlineStr">
        <is>
          <t>Churches and states: the religious institution and modernization, by Victor D. Du Bois [and others] Edited by Kalman H. Silvert. With a foreword by Kenneth W. Thompson.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York, American Universities Field Staff [1967]</t>
        </is>
      </c>
      <c r="O415" t="inlineStr">
        <is>
          <t>1967</t>
        </is>
      </c>
      <c r="Q415" t="inlineStr">
        <is>
          <t>eng</t>
        </is>
      </c>
      <c r="R415" t="inlineStr">
        <is>
          <t>nyu</t>
        </is>
      </c>
      <c r="T415" t="inlineStr">
        <is>
          <t xml:space="preserve">BL </t>
        </is>
      </c>
      <c r="U415" t="n">
        <v>1</v>
      </c>
      <c r="V415" t="n">
        <v>1</v>
      </c>
      <c r="W415" t="inlineStr">
        <is>
          <t>2001-12-01</t>
        </is>
      </c>
      <c r="X415" t="inlineStr">
        <is>
          <t>2001-12-01</t>
        </is>
      </c>
      <c r="Y415" t="inlineStr">
        <is>
          <t>1990-09-27</t>
        </is>
      </c>
      <c r="Z415" t="inlineStr">
        <is>
          <t>1990-09-27</t>
        </is>
      </c>
      <c r="AA415" t="n">
        <v>525</v>
      </c>
      <c r="AB415" t="n">
        <v>462</v>
      </c>
      <c r="AC415" t="n">
        <v>465</v>
      </c>
      <c r="AD415" t="n">
        <v>6</v>
      </c>
      <c r="AE415" t="n">
        <v>6</v>
      </c>
      <c r="AF415" t="n">
        <v>25</v>
      </c>
      <c r="AG415" t="n">
        <v>25</v>
      </c>
      <c r="AH415" t="n">
        <v>5</v>
      </c>
      <c r="AI415" t="n">
        <v>5</v>
      </c>
      <c r="AJ415" t="n">
        <v>6</v>
      </c>
      <c r="AK415" t="n">
        <v>6</v>
      </c>
      <c r="AL415" t="n">
        <v>14</v>
      </c>
      <c r="AM415" t="n">
        <v>14</v>
      </c>
      <c r="AN415" t="n">
        <v>5</v>
      </c>
      <c r="AO415" t="n">
        <v>5</v>
      </c>
      <c r="AP415" t="n">
        <v>1</v>
      </c>
      <c r="AQ415" t="n">
        <v>1</v>
      </c>
      <c r="AR415" t="inlineStr">
        <is>
          <t>No</t>
        </is>
      </c>
      <c r="AS415" t="inlineStr">
        <is>
          <t>Yes</t>
        </is>
      </c>
      <c r="AT415">
        <f>HYPERLINK("http://catalog.hathitrust.org/Record/001391505","HathiTrust Record")</f>
        <v/>
      </c>
      <c r="AU415">
        <f>HYPERLINK("https://creighton-primo.hosted.exlibrisgroup.com/primo-explore/search?tab=default_tab&amp;search_scope=EVERYTHING&amp;vid=01CRU&amp;lang=en_US&amp;offset=0&amp;query=any,contains,991003809089702656","Catalog Record")</f>
        <v/>
      </c>
      <c r="AV415">
        <f>HYPERLINK("http://www.worldcat.org/oclc/1533409","WorldCat Record")</f>
        <v/>
      </c>
      <c r="AW415" t="inlineStr">
        <is>
          <t>365847800:eng</t>
        </is>
      </c>
      <c r="AX415" t="inlineStr">
        <is>
          <t>1533409</t>
        </is>
      </c>
      <c r="AY415" t="inlineStr">
        <is>
          <t>991003809089702656</t>
        </is>
      </c>
      <c r="AZ415" t="inlineStr">
        <is>
          <t>991003809089702656</t>
        </is>
      </c>
      <c r="BA415" t="inlineStr">
        <is>
          <t>2271003090002656</t>
        </is>
      </c>
      <c r="BB415" t="inlineStr">
        <is>
          <t>BOOK</t>
        </is>
      </c>
      <c r="BE415" t="inlineStr">
        <is>
          <t>32285000322718</t>
        </is>
      </c>
      <c r="BF415" t="inlineStr">
        <is>
          <t>893240634</t>
        </is>
      </c>
    </row>
    <row r="416">
      <c r="A416" t="inlineStr">
        <is>
          <t>No</t>
        </is>
      </c>
      <c r="B416" t="inlineStr">
        <is>
          <t>CURAL</t>
        </is>
      </c>
      <c r="C416" t="inlineStr">
        <is>
          <t>SHELVES</t>
        </is>
      </c>
      <c r="D416" t="inlineStr">
        <is>
          <t>BL60 .D45</t>
        </is>
      </c>
      <c r="E416" t="inlineStr">
        <is>
          <t>0                      BL 0060000D  45</t>
        </is>
      </c>
      <c r="F416" t="inlineStr">
        <is>
          <t>Religion in social context; tradition and transition [by] N. J. Demerath III and Phillip E. Hammond.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Demerath, N. J. (Nicholas Jay), 1936-</t>
        </is>
      </c>
      <c r="N416" t="inlineStr">
        <is>
          <t>New York, Random House [1968, c1969]</t>
        </is>
      </c>
      <c r="O416" t="inlineStr">
        <is>
          <t>1968</t>
        </is>
      </c>
      <c r="Q416" t="inlineStr">
        <is>
          <t>eng</t>
        </is>
      </c>
      <c r="R416" t="inlineStr">
        <is>
          <t>nyu</t>
        </is>
      </c>
      <c r="T416" t="inlineStr">
        <is>
          <t xml:space="preserve">BL </t>
        </is>
      </c>
      <c r="U416" t="n">
        <v>2</v>
      </c>
      <c r="V416" t="n">
        <v>2</v>
      </c>
      <c r="W416" t="inlineStr">
        <is>
          <t>1992-11-12</t>
        </is>
      </c>
      <c r="X416" t="inlineStr">
        <is>
          <t>1992-11-12</t>
        </is>
      </c>
      <c r="Y416" t="inlineStr">
        <is>
          <t>1990-09-27</t>
        </is>
      </c>
      <c r="Z416" t="inlineStr">
        <is>
          <t>1990-09-27</t>
        </is>
      </c>
      <c r="AA416" t="n">
        <v>738</v>
      </c>
      <c r="AB416" t="n">
        <v>627</v>
      </c>
      <c r="AC416" t="n">
        <v>637</v>
      </c>
      <c r="AD416" t="n">
        <v>5</v>
      </c>
      <c r="AE416" t="n">
        <v>5</v>
      </c>
      <c r="AF416" t="n">
        <v>29</v>
      </c>
      <c r="AG416" t="n">
        <v>29</v>
      </c>
      <c r="AH416" t="n">
        <v>10</v>
      </c>
      <c r="AI416" t="n">
        <v>10</v>
      </c>
      <c r="AJ416" t="n">
        <v>7</v>
      </c>
      <c r="AK416" t="n">
        <v>7</v>
      </c>
      <c r="AL416" t="n">
        <v>17</v>
      </c>
      <c r="AM416" t="n">
        <v>17</v>
      </c>
      <c r="AN416" t="n">
        <v>4</v>
      </c>
      <c r="AO416" t="n">
        <v>4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HYPERLINK("http://catalog.hathitrust.org/Record/001391510","HathiTrust Record")</f>
        <v/>
      </c>
      <c r="AU416">
        <f>HYPERLINK("https://creighton-primo.hosted.exlibrisgroup.com/primo-explore/search?tab=default_tab&amp;search_scope=EVERYTHING&amp;vid=01CRU&amp;lang=en_US&amp;offset=0&amp;query=any,contains,991001962259702656","Catalog Record")</f>
        <v/>
      </c>
      <c r="AV416">
        <f>HYPERLINK("http://www.worldcat.org/oclc/253537","WorldCat Record")</f>
        <v/>
      </c>
      <c r="AW416" t="inlineStr">
        <is>
          <t>3887441347:eng</t>
        </is>
      </c>
      <c r="AX416" t="inlineStr">
        <is>
          <t>253537</t>
        </is>
      </c>
      <c r="AY416" t="inlineStr">
        <is>
          <t>991001962259702656</t>
        </is>
      </c>
      <c r="AZ416" t="inlineStr">
        <is>
          <t>991001962259702656</t>
        </is>
      </c>
      <c r="BA416" t="inlineStr">
        <is>
          <t>2267209990002656</t>
        </is>
      </c>
      <c r="BB416" t="inlineStr">
        <is>
          <t>BOOK</t>
        </is>
      </c>
      <c r="BE416" t="inlineStr">
        <is>
          <t>32285000322742</t>
        </is>
      </c>
      <c r="BF416" t="inlineStr">
        <is>
          <t>893516731</t>
        </is>
      </c>
    </row>
    <row r="417">
      <c r="A417" t="inlineStr">
        <is>
          <t>No</t>
        </is>
      </c>
      <c r="B417" t="inlineStr">
        <is>
          <t>CURAL</t>
        </is>
      </c>
      <c r="C417" t="inlineStr">
        <is>
          <t>SHELVES</t>
        </is>
      </c>
      <c r="D417" t="inlineStr">
        <is>
          <t>BL60 .F88 1993</t>
        </is>
      </c>
      <c r="E417" t="inlineStr">
        <is>
          <t>0                      BL 0060000F  88          1993</t>
        </is>
      </c>
      <c r="F417" t="inlineStr">
        <is>
          <t>A Future for religion? : new paradigms for social analysis / editor, William H. Swatos, Jr.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Newbury Park : Sage Publications, c1993.</t>
        </is>
      </c>
      <c r="O417" t="inlineStr">
        <is>
          <t>1993</t>
        </is>
      </c>
      <c r="Q417" t="inlineStr">
        <is>
          <t>eng</t>
        </is>
      </c>
      <c r="R417" t="inlineStr">
        <is>
          <t>cau</t>
        </is>
      </c>
      <c r="S417" t="inlineStr">
        <is>
          <t>Sage focus editions ; 151</t>
        </is>
      </c>
      <c r="T417" t="inlineStr">
        <is>
          <t xml:space="preserve">BL </t>
        </is>
      </c>
      <c r="U417" t="n">
        <v>2</v>
      </c>
      <c r="V417" t="n">
        <v>2</v>
      </c>
      <c r="W417" t="inlineStr">
        <is>
          <t>1996-04-23</t>
        </is>
      </c>
      <c r="X417" t="inlineStr">
        <is>
          <t>1996-04-23</t>
        </is>
      </c>
      <c r="Y417" t="inlineStr">
        <is>
          <t>1994-05-17</t>
        </is>
      </c>
      <c r="Z417" t="inlineStr">
        <is>
          <t>1994-05-17</t>
        </is>
      </c>
      <c r="AA417" t="n">
        <v>287</v>
      </c>
      <c r="AB417" t="n">
        <v>187</v>
      </c>
      <c r="AC417" t="n">
        <v>250</v>
      </c>
      <c r="AD417" t="n">
        <v>3</v>
      </c>
      <c r="AE417" t="n">
        <v>3</v>
      </c>
      <c r="AF417" t="n">
        <v>13</v>
      </c>
      <c r="AG417" t="n">
        <v>16</v>
      </c>
      <c r="AH417" t="n">
        <v>3</v>
      </c>
      <c r="AI417" t="n">
        <v>4</v>
      </c>
      <c r="AJ417" t="n">
        <v>5</v>
      </c>
      <c r="AK417" t="n">
        <v>7</v>
      </c>
      <c r="AL417" t="n">
        <v>8</v>
      </c>
      <c r="AM417" t="n">
        <v>8</v>
      </c>
      <c r="AN417" t="n">
        <v>2</v>
      </c>
      <c r="AO417" t="n">
        <v>2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HYPERLINK("http://catalog.hathitrust.org/Record/002610273","HathiTrust Record")</f>
        <v/>
      </c>
      <c r="AU417">
        <f>HYPERLINK("https://creighton-primo.hosted.exlibrisgroup.com/primo-explore/search?tab=default_tab&amp;search_scope=EVERYTHING&amp;vid=01CRU&amp;lang=en_US&amp;offset=0&amp;query=any,contains,991002071749702656","Catalog Record")</f>
        <v/>
      </c>
      <c r="AV417">
        <f>HYPERLINK("http://www.worldcat.org/oclc/26546587","WorldCat Record")</f>
        <v/>
      </c>
      <c r="AW417" t="inlineStr">
        <is>
          <t>836758517:eng</t>
        </is>
      </c>
      <c r="AX417" t="inlineStr">
        <is>
          <t>26546587</t>
        </is>
      </c>
      <c r="AY417" t="inlineStr">
        <is>
          <t>991002071749702656</t>
        </is>
      </c>
      <c r="AZ417" t="inlineStr">
        <is>
          <t>991002071749702656</t>
        </is>
      </c>
      <c r="BA417" t="inlineStr">
        <is>
          <t>2259632090002656</t>
        </is>
      </c>
      <c r="BB417" t="inlineStr">
        <is>
          <t>BOOK</t>
        </is>
      </c>
      <c r="BD417" t="inlineStr">
        <is>
          <t>9780803946750</t>
        </is>
      </c>
      <c r="BE417" t="inlineStr">
        <is>
          <t>32285001896421</t>
        </is>
      </c>
      <c r="BF417" t="inlineStr">
        <is>
          <t>893497686</t>
        </is>
      </c>
    </row>
    <row r="418">
      <c r="A418" t="inlineStr">
        <is>
          <t>No</t>
        </is>
      </c>
      <c r="B418" t="inlineStr">
        <is>
          <t>CURAL</t>
        </is>
      </c>
      <c r="C418" t="inlineStr">
        <is>
          <t>SHELVES</t>
        </is>
      </c>
      <c r="D418" t="inlineStr">
        <is>
          <t>BL60 .G56</t>
        </is>
      </c>
      <c r="E418" t="inlineStr">
        <is>
          <t>0                      BL 0060000G  56</t>
        </is>
      </c>
      <c r="F418" t="inlineStr">
        <is>
          <t>Religion and society in tension / [by] Charles Y. Glock [and] Rodney Stark.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Glock, Charles Y.</t>
        </is>
      </c>
      <c r="N418" t="inlineStr">
        <is>
          <t>Chicago : Rand McNally, [1965]</t>
        </is>
      </c>
      <c r="O418" t="inlineStr">
        <is>
          <t>1965</t>
        </is>
      </c>
      <c r="Q418" t="inlineStr">
        <is>
          <t>eng</t>
        </is>
      </c>
      <c r="R418" t="inlineStr">
        <is>
          <t>ilu</t>
        </is>
      </c>
      <c r="S418" t="inlineStr">
        <is>
          <t>Rand McNally sociology series</t>
        </is>
      </c>
      <c r="T418" t="inlineStr">
        <is>
          <t xml:space="preserve">BL </t>
        </is>
      </c>
      <c r="U418" t="n">
        <v>8</v>
      </c>
      <c r="V418" t="n">
        <v>8</v>
      </c>
      <c r="W418" t="inlineStr">
        <is>
          <t>2010-09-30</t>
        </is>
      </c>
      <c r="X418" t="inlineStr">
        <is>
          <t>2010-09-30</t>
        </is>
      </c>
      <c r="Y418" t="inlineStr">
        <is>
          <t>1990-09-27</t>
        </is>
      </c>
      <c r="Z418" t="inlineStr">
        <is>
          <t>1990-09-27</t>
        </is>
      </c>
      <c r="AA418" t="n">
        <v>929</v>
      </c>
      <c r="AB418" t="n">
        <v>782</v>
      </c>
      <c r="AC418" t="n">
        <v>791</v>
      </c>
      <c r="AD418" t="n">
        <v>7</v>
      </c>
      <c r="AE418" t="n">
        <v>7</v>
      </c>
      <c r="AF418" t="n">
        <v>39</v>
      </c>
      <c r="AG418" t="n">
        <v>39</v>
      </c>
      <c r="AH418" t="n">
        <v>16</v>
      </c>
      <c r="AI418" t="n">
        <v>16</v>
      </c>
      <c r="AJ418" t="n">
        <v>7</v>
      </c>
      <c r="AK418" t="n">
        <v>7</v>
      </c>
      <c r="AL418" t="n">
        <v>19</v>
      </c>
      <c r="AM418" t="n">
        <v>19</v>
      </c>
      <c r="AN418" t="n">
        <v>5</v>
      </c>
      <c r="AO418" t="n">
        <v>5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HYPERLINK("http://catalog.hathitrust.org/Record/001391514","HathiTrust Record")</f>
        <v/>
      </c>
      <c r="AU418">
        <f>HYPERLINK("https://creighton-primo.hosted.exlibrisgroup.com/primo-explore/search?tab=default_tab&amp;search_scope=EVERYTHING&amp;vid=01CRU&amp;lang=en_US&amp;offset=0&amp;query=any,contains,991001378729702656","Catalog Record")</f>
        <v/>
      </c>
      <c r="AV418">
        <f>HYPERLINK("http://www.worldcat.org/oclc/225752","WorldCat Record")</f>
        <v/>
      </c>
      <c r="AW418" t="inlineStr">
        <is>
          <t>1337345:eng</t>
        </is>
      </c>
      <c r="AX418" t="inlineStr">
        <is>
          <t>225752</t>
        </is>
      </c>
      <c r="AY418" t="inlineStr">
        <is>
          <t>991001378729702656</t>
        </is>
      </c>
      <c r="AZ418" t="inlineStr">
        <is>
          <t>991001378729702656</t>
        </is>
      </c>
      <c r="BA418" t="inlineStr">
        <is>
          <t>2263708750002656</t>
        </is>
      </c>
      <c r="BB418" t="inlineStr">
        <is>
          <t>BOOK</t>
        </is>
      </c>
      <c r="BE418" t="inlineStr">
        <is>
          <t>32285000322783</t>
        </is>
      </c>
      <c r="BF418" t="inlineStr">
        <is>
          <t>893534532</t>
        </is>
      </c>
    </row>
    <row r="419">
      <c r="A419" t="inlineStr">
        <is>
          <t>No</t>
        </is>
      </c>
      <c r="B419" t="inlineStr">
        <is>
          <t>CURAL</t>
        </is>
      </c>
      <c r="C419" t="inlineStr">
        <is>
          <t>SHELVES</t>
        </is>
      </c>
      <c r="D419" t="inlineStr">
        <is>
          <t>BL60 .G6</t>
        </is>
      </c>
      <c r="E419" t="inlineStr">
        <is>
          <t>0                      BL 0060000G  6</t>
        </is>
      </c>
      <c r="F419" t="inlineStr">
        <is>
          <t>Religion among the primitives; with an introd. by Kingsley Davis.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M419" t="inlineStr">
        <is>
          <t>Goode, William Josiah.</t>
        </is>
      </c>
      <c r="N419" t="inlineStr">
        <is>
          <t>Glencoe, Ill., Free Press [c1951]</t>
        </is>
      </c>
      <c r="O419" t="inlineStr">
        <is>
          <t>1951</t>
        </is>
      </c>
      <c r="Q419" t="inlineStr">
        <is>
          <t>eng</t>
        </is>
      </c>
      <c r="R419" t="inlineStr">
        <is>
          <t>ilu</t>
        </is>
      </c>
      <c r="T419" t="inlineStr">
        <is>
          <t xml:space="preserve">BL </t>
        </is>
      </c>
      <c r="U419" t="n">
        <v>1</v>
      </c>
      <c r="V419" t="n">
        <v>1</v>
      </c>
      <c r="W419" t="inlineStr">
        <is>
          <t>1992-11-12</t>
        </is>
      </c>
      <c r="X419" t="inlineStr">
        <is>
          <t>1992-11-12</t>
        </is>
      </c>
      <c r="Y419" t="inlineStr">
        <is>
          <t>1990-09-27</t>
        </is>
      </c>
      <c r="Z419" t="inlineStr">
        <is>
          <t>1990-09-27</t>
        </is>
      </c>
      <c r="AA419" t="n">
        <v>972</v>
      </c>
      <c r="AB419" t="n">
        <v>841</v>
      </c>
      <c r="AC419" t="n">
        <v>910</v>
      </c>
      <c r="AD419" t="n">
        <v>4</v>
      </c>
      <c r="AE419" t="n">
        <v>5</v>
      </c>
      <c r="AF419" t="n">
        <v>34</v>
      </c>
      <c r="AG419" t="n">
        <v>37</v>
      </c>
      <c r="AH419" t="n">
        <v>15</v>
      </c>
      <c r="AI419" t="n">
        <v>16</v>
      </c>
      <c r="AJ419" t="n">
        <v>7</v>
      </c>
      <c r="AK419" t="n">
        <v>7</v>
      </c>
      <c r="AL419" t="n">
        <v>18</v>
      </c>
      <c r="AM419" t="n">
        <v>20</v>
      </c>
      <c r="AN419" t="n">
        <v>3</v>
      </c>
      <c r="AO419" t="n">
        <v>4</v>
      </c>
      <c r="AP419" t="n">
        <v>0</v>
      </c>
      <c r="AQ419" t="n">
        <v>0</v>
      </c>
      <c r="AR419" t="inlineStr">
        <is>
          <t>No</t>
        </is>
      </c>
      <c r="AS419" t="inlineStr">
        <is>
          <t>Yes</t>
        </is>
      </c>
      <c r="AT419">
        <f>HYPERLINK("http://catalog.hathitrust.org/Record/001274779","HathiTrust Record")</f>
        <v/>
      </c>
      <c r="AU419">
        <f>HYPERLINK("https://creighton-primo.hosted.exlibrisgroup.com/primo-explore/search?tab=default_tab&amp;search_scope=EVERYTHING&amp;vid=01CRU&amp;lang=en_US&amp;offset=0&amp;query=any,contains,991002573529702656","Catalog Record")</f>
        <v/>
      </c>
      <c r="AV419">
        <f>HYPERLINK("http://www.worldcat.org/oclc/374322","WorldCat Record")</f>
        <v/>
      </c>
      <c r="AW419" t="inlineStr">
        <is>
          <t>1459650:eng</t>
        </is>
      </c>
      <c r="AX419" t="inlineStr">
        <is>
          <t>374322</t>
        </is>
      </c>
      <c r="AY419" t="inlineStr">
        <is>
          <t>991002573529702656</t>
        </is>
      </c>
      <c r="AZ419" t="inlineStr">
        <is>
          <t>991002573529702656</t>
        </is>
      </c>
      <c r="BA419" t="inlineStr">
        <is>
          <t>2262369500002656</t>
        </is>
      </c>
      <c r="BB419" t="inlineStr">
        <is>
          <t>BOOK</t>
        </is>
      </c>
      <c r="BE419" t="inlineStr">
        <is>
          <t>32285000322791</t>
        </is>
      </c>
      <c r="BF419" t="inlineStr">
        <is>
          <t>893341589</t>
        </is>
      </c>
    </row>
    <row r="420">
      <c r="A420" t="inlineStr">
        <is>
          <t>No</t>
        </is>
      </c>
      <c r="B420" t="inlineStr">
        <is>
          <t>CURAL</t>
        </is>
      </c>
      <c r="C420" t="inlineStr">
        <is>
          <t>SHELVES</t>
        </is>
      </c>
      <c r="D420" t="inlineStr">
        <is>
          <t>BL60 .H289 1979</t>
        </is>
      </c>
      <c r="E420" t="inlineStr">
        <is>
          <t>0                      BL 0060000H  289         1979</t>
        </is>
      </c>
      <c r="F420" t="inlineStr">
        <is>
          <t>The sociology of religion : classical and contemporary approaches / Barbara Hargrove.</t>
        </is>
      </c>
      <c r="H420" t="inlineStr">
        <is>
          <t>No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M420" t="inlineStr">
        <is>
          <t>Hargrove, Barbara.</t>
        </is>
      </c>
      <c r="N420" t="inlineStr">
        <is>
          <t>Arlington Heights, Ill. : AHM Pub. Corp., c1979.</t>
        </is>
      </c>
      <c r="O420" t="inlineStr">
        <is>
          <t>1979</t>
        </is>
      </c>
      <c r="Q420" t="inlineStr">
        <is>
          <t>eng</t>
        </is>
      </c>
      <c r="R420" t="inlineStr">
        <is>
          <t>ilu</t>
        </is>
      </c>
      <c r="T420" t="inlineStr">
        <is>
          <t xml:space="preserve">BL </t>
        </is>
      </c>
      <c r="U420" t="n">
        <v>7</v>
      </c>
      <c r="V420" t="n">
        <v>7</v>
      </c>
      <c r="W420" t="inlineStr">
        <is>
          <t>1995-02-20</t>
        </is>
      </c>
      <c r="X420" t="inlineStr">
        <is>
          <t>1995-02-20</t>
        </is>
      </c>
      <c r="Y420" t="inlineStr">
        <is>
          <t>1990-09-28</t>
        </is>
      </c>
      <c r="Z420" t="inlineStr">
        <is>
          <t>1990-09-28</t>
        </is>
      </c>
      <c r="AA420" t="n">
        <v>252</v>
      </c>
      <c r="AB420" t="n">
        <v>195</v>
      </c>
      <c r="AC420" t="n">
        <v>337</v>
      </c>
      <c r="AD420" t="n">
        <v>3</v>
      </c>
      <c r="AE420" t="n">
        <v>3</v>
      </c>
      <c r="AF420" t="n">
        <v>15</v>
      </c>
      <c r="AG420" t="n">
        <v>21</v>
      </c>
      <c r="AH420" t="n">
        <v>5</v>
      </c>
      <c r="AI420" t="n">
        <v>7</v>
      </c>
      <c r="AJ420" t="n">
        <v>5</v>
      </c>
      <c r="AK420" t="n">
        <v>7</v>
      </c>
      <c r="AL420" t="n">
        <v>7</v>
      </c>
      <c r="AM420" t="n">
        <v>10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HYPERLINK("http://catalog.hathitrust.org/Record/101997365","HathiTrust Record")</f>
        <v/>
      </c>
      <c r="AU420">
        <f>HYPERLINK("https://creighton-primo.hosted.exlibrisgroup.com/primo-explore/search?tab=default_tab&amp;search_scope=EVERYTHING&amp;vid=01CRU&amp;lang=en_US&amp;offset=0&amp;query=any,contains,991004753409702656","Catalog Record")</f>
        <v/>
      </c>
      <c r="AV420">
        <f>HYPERLINK("http://www.worldcat.org/oclc/4952137","WorldCat Record")</f>
        <v/>
      </c>
      <c r="AW420" t="inlineStr">
        <is>
          <t>889958521:eng</t>
        </is>
      </c>
      <c r="AX420" t="inlineStr">
        <is>
          <t>4952137</t>
        </is>
      </c>
      <c r="AY420" t="inlineStr">
        <is>
          <t>991004753409702656</t>
        </is>
      </c>
      <c r="AZ420" t="inlineStr">
        <is>
          <t>991004753409702656</t>
        </is>
      </c>
      <c r="BA420" t="inlineStr">
        <is>
          <t>2258847200002656</t>
        </is>
      </c>
      <c r="BB420" t="inlineStr">
        <is>
          <t>BOOK</t>
        </is>
      </c>
      <c r="BD420" t="inlineStr">
        <is>
          <t>9780882952116</t>
        </is>
      </c>
      <c r="BE420" t="inlineStr">
        <is>
          <t>32285000323245</t>
        </is>
      </c>
      <c r="BF420" t="inlineStr">
        <is>
          <t>893876538</t>
        </is>
      </c>
    </row>
    <row r="421">
      <c r="A421" t="inlineStr">
        <is>
          <t>No</t>
        </is>
      </c>
      <c r="B421" t="inlineStr">
        <is>
          <t>CURAL</t>
        </is>
      </c>
      <c r="C421" t="inlineStr">
        <is>
          <t>SHELVES</t>
        </is>
      </c>
      <c r="D421" t="inlineStr">
        <is>
          <t>BL60 .H48 1973a</t>
        </is>
      </c>
      <c r="E421" t="inlineStr">
        <is>
          <t>0                      BL 0060000H  48          1973a</t>
        </is>
      </c>
      <c r="F421" t="inlineStr">
        <is>
          <t>A sociology of religion.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Hill, Michael, 1943-</t>
        </is>
      </c>
      <c r="N421" t="inlineStr">
        <is>
          <t>New York, Basic Books [1974, c1973]</t>
        </is>
      </c>
      <c r="O421" t="inlineStr">
        <is>
          <t>1974</t>
        </is>
      </c>
      <c r="Q421" t="inlineStr">
        <is>
          <t>eng</t>
        </is>
      </c>
      <c r="R421" t="inlineStr">
        <is>
          <t>nyu</t>
        </is>
      </c>
      <c r="T421" t="inlineStr">
        <is>
          <t xml:space="preserve">BL </t>
        </is>
      </c>
      <c r="U421" t="n">
        <v>1</v>
      </c>
      <c r="V421" t="n">
        <v>1</v>
      </c>
      <c r="W421" t="inlineStr">
        <is>
          <t>1992-11-12</t>
        </is>
      </c>
      <c r="X421" t="inlineStr">
        <is>
          <t>1992-11-12</t>
        </is>
      </c>
      <c r="Y421" t="inlineStr">
        <is>
          <t>1990-09-28</t>
        </is>
      </c>
      <c r="Z421" t="inlineStr">
        <is>
          <t>1990-09-28</t>
        </is>
      </c>
      <c r="AA421" t="n">
        <v>350</v>
      </c>
      <c r="AB421" t="n">
        <v>326</v>
      </c>
      <c r="AC421" t="n">
        <v>528</v>
      </c>
      <c r="AD421" t="n">
        <v>3</v>
      </c>
      <c r="AE421" t="n">
        <v>4</v>
      </c>
      <c r="AF421" t="n">
        <v>21</v>
      </c>
      <c r="AG421" t="n">
        <v>29</v>
      </c>
      <c r="AH421" t="n">
        <v>8</v>
      </c>
      <c r="AI421" t="n">
        <v>11</v>
      </c>
      <c r="AJ421" t="n">
        <v>7</v>
      </c>
      <c r="AK421" t="n">
        <v>8</v>
      </c>
      <c r="AL421" t="n">
        <v>11</v>
      </c>
      <c r="AM421" t="n">
        <v>14</v>
      </c>
      <c r="AN421" t="n">
        <v>2</v>
      </c>
      <c r="AO421" t="n">
        <v>3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HYPERLINK("https://creighton-primo.hosted.exlibrisgroup.com/primo-explore/search?tab=default_tab&amp;search_scope=EVERYTHING&amp;vid=01CRU&amp;lang=en_US&amp;offset=0&amp;query=any,contains,991003245309702656","Catalog Record")</f>
        <v/>
      </c>
      <c r="AV421">
        <f>HYPERLINK("http://www.worldcat.org/oclc/769008","WorldCat Record")</f>
        <v/>
      </c>
      <c r="AW421" t="inlineStr">
        <is>
          <t>118207336:eng</t>
        </is>
      </c>
      <c r="AX421" t="inlineStr">
        <is>
          <t>769008</t>
        </is>
      </c>
      <c r="AY421" t="inlineStr">
        <is>
          <t>991003245309702656</t>
        </is>
      </c>
      <c r="AZ421" t="inlineStr">
        <is>
          <t>991003245309702656</t>
        </is>
      </c>
      <c r="BA421" t="inlineStr">
        <is>
          <t>2270638010002656</t>
        </is>
      </c>
      <c r="BB421" t="inlineStr">
        <is>
          <t>BOOK</t>
        </is>
      </c>
      <c r="BD421" t="inlineStr">
        <is>
          <t>9780465080397</t>
        </is>
      </c>
      <c r="BE421" t="inlineStr">
        <is>
          <t>32285000323252</t>
        </is>
      </c>
      <c r="BF421" t="inlineStr">
        <is>
          <t>893711188</t>
        </is>
      </c>
    </row>
    <row r="422">
      <c r="A422" t="inlineStr">
        <is>
          <t>No</t>
        </is>
      </c>
      <c r="B422" t="inlineStr">
        <is>
          <t>CURAL</t>
        </is>
      </c>
      <c r="C422" t="inlineStr">
        <is>
          <t>SHELVES</t>
        </is>
      </c>
      <c r="D422" t="inlineStr">
        <is>
          <t>BL60 .L44</t>
        </is>
      </c>
      <c r="E422" t="inlineStr">
        <is>
          <t>0                      BL 0060000L  44</t>
        </is>
      </c>
      <c r="F422" t="inlineStr">
        <is>
          <t>The religious factor; a sociological study of religion's impact on politics, economics, and family life.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M422" t="inlineStr">
        <is>
          <t>Lenski, Gerhard, 1924-2015.</t>
        </is>
      </c>
      <c r="N422" t="inlineStr">
        <is>
          <t>Garden City, N.Y., Doubleday, 1961.</t>
        </is>
      </c>
      <c r="O422" t="inlineStr">
        <is>
          <t>1961</t>
        </is>
      </c>
      <c r="P422" t="inlineStr">
        <is>
          <t>[1st ed.]</t>
        </is>
      </c>
      <c r="Q422" t="inlineStr">
        <is>
          <t>eng</t>
        </is>
      </c>
      <c r="R422" t="inlineStr">
        <is>
          <t>nyu</t>
        </is>
      </c>
      <c r="T422" t="inlineStr">
        <is>
          <t xml:space="preserve">BL </t>
        </is>
      </c>
      <c r="U422" t="n">
        <v>7</v>
      </c>
      <c r="V422" t="n">
        <v>7</v>
      </c>
      <c r="W422" t="inlineStr">
        <is>
          <t>1996-08-15</t>
        </is>
      </c>
      <c r="X422" t="inlineStr">
        <is>
          <t>1996-08-15</t>
        </is>
      </c>
      <c r="Y422" t="inlineStr">
        <is>
          <t>1990-09-28</t>
        </is>
      </c>
      <c r="Z422" t="inlineStr">
        <is>
          <t>1990-09-28</t>
        </is>
      </c>
      <c r="AA422" t="n">
        <v>806</v>
      </c>
      <c r="AB422" t="n">
        <v>682</v>
      </c>
      <c r="AC422" t="n">
        <v>1132</v>
      </c>
      <c r="AD422" t="n">
        <v>7</v>
      </c>
      <c r="AE422" t="n">
        <v>10</v>
      </c>
      <c r="AF422" t="n">
        <v>31</v>
      </c>
      <c r="AG422" t="n">
        <v>45</v>
      </c>
      <c r="AH422" t="n">
        <v>12</v>
      </c>
      <c r="AI422" t="n">
        <v>19</v>
      </c>
      <c r="AJ422" t="n">
        <v>7</v>
      </c>
      <c r="AK422" t="n">
        <v>10</v>
      </c>
      <c r="AL422" t="n">
        <v>12</v>
      </c>
      <c r="AM422" t="n">
        <v>22</v>
      </c>
      <c r="AN422" t="n">
        <v>5</v>
      </c>
      <c r="AO422" t="n">
        <v>6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HYPERLINK("http://catalog.hathitrust.org/Record/001391525","HathiTrust Record")</f>
        <v/>
      </c>
      <c r="AU422">
        <f>HYPERLINK("https://creighton-primo.hosted.exlibrisgroup.com/primo-explore/search?tab=default_tab&amp;search_scope=EVERYTHING&amp;vid=01CRU&amp;lang=en_US&amp;offset=0&amp;query=any,contains,991003109979702656","Catalog Record")</f>
        <v/>
      </c>
      <c r="AV422">
        <f>HYPERLINK("http://www.worldcat.org/oclc/656217","WorldCat Record")</f>
        <v/>
      </c>
      <c r="AW422" t="inlineStr">
        <is>
          <t>1089559595:eng</t>
        </is>
      </c>
      <c r="AX422" t="inlineStr">
        <is>
          <t>656217</t>
        </is>
      </c>
      <c r="AY422" t="inlineStr">
        <is>
          <t>991003109979702656</t>
        </is>
      </c>
      <c r="AZ422" t="inlineStr">
        <is>
          <t>991003109979702656</t>
        </is>
      </c>
      <c r="BA422" t="inlineStr">
        <is>
          <t>2263429020002656</t>
        </is>
      </c>
      <c r="BB422" t="inlineStr">
        <is>
          <t>BOOK</t>
        </is>
      </c>
      <c r="BE422" t="inlineStr">
        <is>
          <t>32285000323278</t>
        </is>
      </c>
      <c r="BF422" t="inlineStr">
        <is>
          <t>893721790</t>
        </is>
      </c>
    </row>
    <row r="423">
      <c r="A423" t="inlineStr">
        <is>
          <t>No</t>
        </is>
      </c>
      <c r="B423" t="inlineStr">
        <is>
          <t>CURAL</t>
        </is>
      </c>
      <c r="C423" t="inlineStr">
        <is>
          <t>SHELVES</t>
        </is>
      </c>
      <c r="D423" t="inlineStr">
        <is>
          <t>BL60 .L813</t>
        </is>
      </c>
      <c r="E423" t="inlineStr">
        <is>
          <t>0                      BL 0060000L  813</t>
        </is>
      </c>
      <c r="F423" t="inlineStr">
        <is>
          <t>The invisible religion; the problem of religion in modern society.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Luckmann, Thomas.</t>
        </is>
      </c>
      <c r="N423" t="inlineStr">
        <is>
          <t>New York, Macmillan [c1967]</t>
        </is>
      </c>
      <c r="O423" t="inlineStr">
        <is>
          <t>1967</t>
        </is>
      </c>
      <c r="Q423" t="inlineStr">
        <is>
          <t>eng</t>
        </is>
      </c>
      <c r="R423" t="inlineStr">
        <is>
          <t>nyu</t>
        </is>
      </c>
      <c r="T423" t="inlineStr">
        <is>
          <t xml:space="preserve">BL </t>
        </is>
      </c>
      <c r="U423" t="n">
        <v>5</v>
      </c>
      <c r="V423" t="n">
        <v>5</v>
      </c>
      <c r="W423" t="inlineStr">
        <is>
          <t>1995-01-16</t>
        </is>
      </c>
      <c r="X423" t="inlineStr">
        <is>
          <t>1995-01-16</t>
        </is>
      </c>
      <c r="Y423" t="inlineStr">
        <is>
          <t>1990-09-28</t>
        </is>
      </c>
      <c r="Z423" t="inlineStr">
        <is>
          <t>1990-09-28</t>
        </is>
      </c>
      <c r="AA423" t="n">
        <v>859</v>
      </c>
      <c r="AB423" t="n">
        <v>703</v>
      </c>
      <c r="AC423" t="n">
        <v>723</v>
      </c>
      <c r="AD423" t="n">
        <v>6</v>
      </c>
      <c r="AE423" t="n">
        <v>6</v>
      </c>
      <c r="AF423" t="n">
        <v>40</v>
      </c>
      <c r="AG423" t="n">
        <v>40</v>
      </c>
      <c r="AH423" t="n">
        <v>18</v>
      </c>
      <c r="AI423" t="n">
        <v>18</v>
      </c>
      <c r="AJ423" t="n">
        <v>7</v>
      </c>
      <c r="AK423" t="n">
        <v>7</v>
      </c>
      <c r="AL423" t="n">
        <v>22</v>
      </c>
      <c r="AM423" t="n">
        <v>22</v>
      </c>
      <c r="AN423" t="n">
        <v>4</v>
      </c>
      <c r="AO423" t="n">
        <v>4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HYPERLINK("http://catalog.hathitrust.org/Record/000037522","HathiTrust Record")</f>
        <v/>
      </c>
      <c r="AU423">
        <f>HYPERLINK("https://creighton-primo.hosted.exlibrisgroup.com/primo-explore/search?tab=default_tab&amp;search_scope=EVERYTHING&amp;vid=01CRU&amp;lang=en_US&amp;offset=0&amp;query=any,contains,991003569609702656","Catalog Record")</f>
        <v/>
      </c>
      <c r="AV423">
        <f>HYPERLINK("http://www.worldcat.org/oclc/378073","WorldCat Record")</f>
        <v/>
      </c>
      <c r="AW423" t="inlineStr">
        <is>
          <t>3404038:eng</t>
        </is>
      </c>
      <c r="AX423" t="inlineStr">
        <is>
          <t>378073</t>
        </is>
      </c>
      <c r="AY423" t="inlineStr">
        <is>
          <t>991003569609702656</t>
        </is>
      </c>
      <c r="AZ423" t="inlineStr">
        <is>
          <t>991003569609702656</t>
        </is>
      </c>
      <c r="BA423" t="inlineStr">
        <is>
          <t>2263279760002656</t>
        </is>
      </c>
      <c r="BB423" t="inlineStr">
        <is>
          <t>BOOK</t>
        </is>
      </c>
      <c r="BE423" t="inlineStr">
        <is>
          <t>32285000323286</t>
        </is>
      </c>
      <c r="BF423" t="inlineStr">
        <is>
          <t>893348820</t>
        </is>
      </c>
    </row>
    <row r="424">
      <c r="A424" t="inlineStr">
        <is>
          <t>No</t>
        </is>
      </c>
      <c r="B424" t="inlineStr">
        <is>
          <t>CURAL</t>
        </is>
      </c>
      <c r="C424" t="inlineStr">
        <is>
          <t>SHELVES</t>
        </is>
      </c>
      <c r="D424" t="inlineStr">
        <is>
          <t>BL60 .M62 1977</t>
        </is>
      </c>
      <c r="E424" t="inlineStr">
        <is>
          <t>0                      BL 0060000M  62          1977</t>
        </is>
      </c>
      <c r="F424" t="inlineStr">
        <is>
          <t>Identity and the sacred : a sketch for a new social-scientific theory of religion / Hans Mol.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Mol, Hans, 1922-</t>
        </is>
      </c>
      <c r="N424" t="inlineStr">
        <is>
          <t>New York : Free Press, 1977, c1976.</t>
        </is>
      </c>
      <c r="O424" t="inlineStr">
        <is>
          <t>1977</t>
        </is>
      </c>
      <c r="P424" t="inlineStr">
        <is>
          <t>1st American ed.</t>
        </is>
      </c>
      <c r="Q424" t="inlineStr">
        <is>
          <t>eng</t>
        </is>
      </c>
      <c r="R424" t="inlineStr">
        <is>
          <t>nyu</t>
        </is>
      </c>
      <c r="T424" t="inlineStr">
        <is>
          <t xml:space="preserve">BL </t>
        </is>
      </c>
      <c r="U424" t="n">
        <v>5</v>
      </c>
      <c r="V424" t="n">
        <v>5</v>
      </c>
      <c r="W424" t="inlineStr">
        <is>
          <t>1997-02-27</t>
        </is>
      </c>
      <c r="X424" t="inlineStr">
        <is>
          <t>1997-02-27</t>
        </is>
      </c>
      <c r="Y424" t="inlineStr">
        <is>
          <t>1990-09-28</t>
        </is>
      </c>
      <c r="Z424" t="inlineStr">
        <is>
          <t>1990-09-28</t>
        </is>
      </c>
      <c r="AA424" t="n">
        <v>426</v>
      </c>
      <c r="AB424" t="n">
        <v>384</v>
      </c>
      <c r="AC424" t="n">
        <v>431</v>
      </c>
      <c r="AD424" t="n">
        <v>2</v>
      </c>
      <c r="AE424" t="n">
        <v>2</v>
      </c>
      <c r="AF424" t="n">
        <v>23</v>
      </c>
      <c r="AG424" t="n">
        <v>24</v>
      </c>
      <c r="AH424" t="n">
        <v>8</v>
      </c>
      <c r="AI424" t="n">
        <v>8</v>
      </c>
      <c r="AJ424" t="n">
        <v>7</v>
      </c>
      <c r="AK424" t="n">
        <v>7</v>
      </c>
      <c r="AL424" t="n">
        <v>14</v>
      </c>
      <c r="AM424" t="n">
        <v>15</v>
      </c>
      <c r="AN424" t="n">
        <v>1</v>
      </c>
      <c r="AO424" t="n">
        <v>1</v>
      </c>
      <c r="AP424" t="n">
        <v>0</v>
      </c>
      <c r="AQ424" t="n">
        <v>0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HYPERLINK("https://creighton-primo.hosted.exlibrisgroup.com/primo-explore/search?tab=default_tab&amp;search_scope=EVERYTHING&amp;vid=01CRU&amp;lang=en_US&amp;offset=0&amp;query=any,contains,991004107669702656","Catalog Record")</f>
        <v/>
      </c>
      <c r="AV424">
        <f>HYPERLINK("http://www.worldcat.org/oclc/2388081","WorldCat Record")</f>
        <v/>
      </c>
      <c r="AW424" t="inlineStr">
        <is>
          <t>866851550:eng</t>
        </is>
      </c>
      <c r="AX424" t="inlineStr">
        <is>
          <t>2388081</t>
        </is>
      </c>
      <c r="AY424" t="inlineStr">
        <is>
          <t>991004107669702656</t>
        </is>
      </c>
      <c r="AZ424" t="inlineStr">
        <is>
          <t>991004107669702656</t>
        </is>
      </c>
      <c r="BA424" t="inlineStr">
        <is>
          <t>2259290040002656</t>
        </is>
      </c>
      <c r="BB424" t="inlineStr">
        <is>
          <t>BOOK</t>
        </is>
      </c>
      <c r="BD424" t="inlineStr">
        <is>
          <t>9780029216002</t>
        </is>
      </c>
      <c r="BE424" t="inlineStr">
        <is>
          <t>32285000323310</t>
        </is>
      </c>
      <c r="BF424" t="inlineStr">
        <is>
          <t>893900803</t>
        </is>
      </c>
    </row>
    <row r="425">
      <c r="A425" t="inlineStr">
        <is>
          <t>No</t>
        </is>
      </c>
      <c r="B425" t="inlineStr">
        <is>
          <t>CURAL</t>
        </is>
      </c>
      <c r="C425" t="inlineStr">
        <is>
          <t>SHELVES</t>
        </is>
      </c>
      <c r="D425" t="inlineStr">
        <is>
          <t>BL60 .M63 1983</t>
        </is>
      </c>
      <c r="E425" t="inlineStr">
        <is>
          <t>0                      BL 0060000M  63          1983</t>
        </is>
      </c>
      <c r="F425" t="inlineStr">
        <is>
          <t>Meaning and place : an introduction to the social scientific study of religion / Hans Mol.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Mol, Hans, 1922-</t>
        </is>
      </c>
      <c r="N425" t="inlineStr">
        <is>
          <t>New York : Pilgrim Press, c1983.</t>
        </is>
      </c>
      <c r="O425" t="inlineStr">
        <is>
          <t>1983</t>
        </is>
      </c>
      <c r="Q425" t="inlineStr">
        <is>
          <t>eng</t>
        </is>
      </c>
      <c r="R425" t="inlineStr">
        <is>
          <t>nyu</t>
        </is>
      </c>
      <c r="T425" t="inlineStr">
        <is>
          <t xml:space="preserve">BL </t>
        </is>
      </c>
      <c r="U425" t="n">
        <v>5</v>
      </c>
      <c r="V425" t="n">
        <v>5</v>
      </c>
      <c r="W425" t="inlineStr">
        <is>
          <t>1997-02-27</t>
        </is>
      </c>
      <c r="X425" t="inlineStr">
        <is>
          <t>1997-02-27</t>
        </is>
      </c>
      <c r="Y425" t="inlineStr">
        <is>
          <t>1990-09-28</t>
        </is>
      </c>
      <c r="Z425" t="inlineStr">
        <is>
          <t>1990-09-28</t>
        </is>
      </c>
      <c r="AA425" t="n">
        <v>256</v>
      </c>
      <c r="AB425" t="n">
        <v>196</v>
      </c>
      <c r="AC425" t="n">
        <v>197</v>
      </c>
      <c r="AD425" t="n">
        <v>2</v>
      </c>
      <c r="AE425" t="n">
        <v>2</v>
      </c>
      <c r="AF425" t="n">
        <v>8</v>
      </c>
      <c r="AG425" t="n">
        <v>8</v>
      </c>
      <c r="AH425" t="n">
        <v>1</v>
      </c>
      <c r="AI425" t="n">
        <v>1</v>
      </c>
      <c r="AJ425" t="n">
        <v>3</v>
      </c>
      <c r="AK425" t="n">
        <v>3</v>
      </c>
      <c r="AL425" t="n">
        <v>4</v>
      </c>
      <c r="AM425" t="n">
        <v>4</v>
      </c>
      <c r="AN425" t="n">
        <v>1</v>
      </c>
      <c r="AO425" t="n">
        <v>1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HYPERLINK("http://catalog.hathitrust.org/Record/101897175","HathiTrust Record")</f>
        <v/>
      </c>
      <c r="AU425">
        <f>HYPERLINK("https://creighton-primo.hosted.exlibrisgroup.com/primo-explore/search?tab=default_tab&amp;search_scope=EVERYTHING&amp;vid=01CRU&amp;lang=en_US&amp;offset=0&amp;query=any,contains,991000070619702656","Catalog Record")</f>
        <v/>
      </c>
      <c r="AV425">
        <f>HYPERLINK("http://www.worldcat.org/oclc/8784826","WorldCat Record")</f>
        <v/>
      </c>
      <c r="AW425" t="inlineStr">
        <is>
          <t>43165998:eng</t>
        </is>
      </c>
      <c r="AX425" t="inlineStr">
        <is>
          <t>8784826</t>
        </is>
      </c>
      <c r="AY425" t="inlineStr">
        <is>
          <t>991000070619702656</t>
        </is>
      </c>
      <c r="AZ425" t="inlineStr">
        <is>
          <t>991000070619702656</t>
        </is>
      </c>
      <c r="BA425" t="inlineStr">
        <is>
          <t>2265569280002656</t>
        </is>
      </c>
      <c r="BB425" t="inlineStr">
        <is>
          <t>BOOK</t>
        </is>
      </c>
      <c r="BD425" t="inlineStr">
        <is>
          <t>9780829806380</t>
        </is>
      </c>
      <c r="BE425" t="inlineStr">
        <is>
          <t>32285000323328</t>
        </is>
      </c>
      <c r="BF425" t="inlineStr">
        <is>
          <t>893413047</t>
        </is>
      </c>
    </row>
    <row r="426">
      <c r="A426" t="inlineStr">
        <is>
          <t>No</t>
        </is>
      </c>
      <c r="B426" t="inlineStr">
        <is>
          <t>CURAL</t>
        </is>
      </c>
      <c r="C426" t="inlineStr">
        <is>
          <t>SHELVES</t>
        </is>
      </c>
      <c r="D426" t="inlineStr">
        <is>
          <t>BL60 .N43</t>
        </is>
      </c>
      <c r="E426" t="inlineStr">
        <is>
          <t>0                      BL 0060000N  43</t>
        </is>
      </c>
      <c r="F426" t="inlineStr">
        <is>
          <t>The social meanings of religion : an integrated anthology / William M. Newman.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Newman, William M.</t>
        </is>
      </c>
      <c r="N426" t="inlineStr">
        <is>
          <t>Chicago : Rand McNally, [1974]</t>
        </is>
      </c>
      <c r="O426" t="inlineStr">
        <is>
          <t>1974</t>
        </is>
      </c>
      <c r="Q426" t="inlineStr">
        <is>
          <t>eng</t>
        </is>
      </c>
      <c r="R426" t="inlineStr">
        <is>
          <t>ilu</t>
        </is>
      </c>
      <c r="T426" t="inlineStr">
        <is>
          <t xml:space="preserve">BL </t>
        </is>
      </c>
      <c r="U426" t="n">
        <v>8</v>
      </c>
      <c r="V426" t="n">
        <v>8</v>
      </c>
      <c r="W426" t="inlineStr">
        <is>
          <t>2003-04-14</t>
        </is>
      </c>
      <c r="X426" t="inlineStr">
        <is>
          <t>2003-04-14</t>
        </is>
      </c>
      <c r="Y426" t="inlineStr">
        <is>
          <t>1990-09-28</t>
        </is>
      </c>
      <c r="Z426" t="inlineStr">
        <is>
          <t>1990-09-28</t>
        </is>
      </c>
      <c r="AA426" t="n">
        <v>460</v>
      </c>
      <c r="AB426" t="n">
        <v>385</v>
      </c>
      <c r="AC426" t="n">
        <v>393</v>
      </c>
      <c r="AD426" t="n">
        <v>5</v>
      </c>
      <c r="AE426" t="n">
        <v>5</v>
      </c>
      <c r="AF426" t="n">
        <v>24</v>
      </c>
      <c r="AG426" t="n">
        <v>24</v>
      </c>
      <c r="AH426" t="n">
        <v>7</v>
      </c>
      <c r="AI426" t="n">
        <v>7</v>
      </c>
      <c r="AJ426" t="n">
        <v>5</v>
      </c>
      <c r="AK426" t="n">
        <v>5</v>
      </c>
      <c r="AL426" t="n">
        <v>14</v>
      </c>
      <c r="AM426" t="n">
        <v>14</v>
      </c>
      <c r="AN426" t="n">
        <v>4</v>
      </c>
      <c r="AO426" t="n">
        <v>4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HYPERLINK("http://catalog.hathitrust.org/Record/010679286","HathiTrust Record")</f>
        <v/>
      </c>
      <c r="AU426">
        <f>HYPERLINK("https://creighton-primo.hosted.exlibrisgroup.com/primo-explore/search?tab=default_tab&amp;search_scope=EVERYTHING&amp;vid=01CRU&amp;lang=en_US&amp;offset=0&amp;query=any,contains,991003550889702656","Catalog Record")</f>
        <v/>
      </c>
      <c r="AV426">
        <f>HYPERLINK("http://www.worldcat.org/oclc/1119442","WorldCat Record")</f>
        <v/>
      </c>
      <c r="AW426" t="inlineStr">
        <is>
          <t>422903585:eng</t>
        </is>
      </c>
      <c r="AX426" t="inlineStr">
        <is>
          <t>1119442</t>
        </is>
      </c>
      <c r="AY426" t="inlineStr">
        <is>
          <t>991003550889702656</t>
        </is>
      </c>
      <c r="AZ426" t="inlineStr">
        <is>
          <t>991003550889702656</t>
        </is>
      </c>
      <c r="BA426" t="inlineStr">
        <is>
          <t>2256121450002656</t>
        </is>
      </c>
      <c r="BB426" t="inlineStr">
        <is>
          <t>BOOK</t>
        </is>
      </c>
      <c r="BD426" t="inlineStr">
        <is>
          <t>9780528682124</t>
        </is>
      </c>
      <c r="BE426" t="inlineStr">
        <is>
          <t>32285000323336</t>
        </is>
      </c>
      <c r="BF426" t="inlineStr">
        <is>
          <t>893604902</t>
        </is>
      </c>
    </row>
    <row r="427">
      <c r="A427" t="inlineStr">
        <is>
          <t>No</t>
        </is>
      </c>
      <c r="B427" t="inlineStr">
        <is>
          <t>CURAL</t>
        </is>
      </c>
      <c r="C427" t="inlineStr">
        <is>
          <t>SHELVES</t>
        </is>
      </c>
      <c r="D427" t="inlineStr">
        <is>
          <t>BL60 .N597</t>
        </is>
      </c>
      <c r="E427" t="inlineStr">
        <is>
          <t>0                      BL 0060000N  597</t>
        </is>
      </c>
      <c r="F427" t="inlineStr">
        <is>
          <t>Religion: a sociological view [by] Elizabeth K. Nottingham.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M427" t="inlineStr">
        <is>
          <t>Nottingham, Elizabeth K. (Elizabeth Kristine), 1900-1994.</t>
        </is>
      </c>
      <c r="N427" t="inlineStr">
        <is>
          <t>New York, Random House [1971]</t>
        </is>
      </c>
      <c r="O427" t="inlineStr">
        <is>
          <t>1971</t>
        </is>
      </c>
      <c r="P427" t="inlineStr">
        <is>
          <t>[1st ed.]</t>
        </is>
      </c>
      <c r="Q427" t="inlineStr">
        <is>
          <t>eng</t>
        </is>
      </c>
      <c r="R427" t="inlineStr">
        <is>
          <t>nyu</t>
        </is>
      </c>
      <c r="T427" t="inlineStr">
        <is>
          <t xml:space="preserve">BL </t>
        </is>
      </c>
      <c r="U427" t="n">
        <v>1</v>
      </c>
      <c r="V427" t="n">
        <v>1</v>
      </c>
      <c r="W427" t="inlineStr">
        <is>
          <t>1992-11-11</t>
        </is>
      </c>
      <c r="X427" t="inlineStr">
        <is>
          <t>1992-11-11</t>
        </is>
      </c>
      <c r="Y427" t="inlineStr">
        <is>
          <t>1990-09-28</t>
        </is>
      </c>
      <c r="Z427" t="inlineStr">
        <is>
          <t>1990-09-28</t>
        </is>
      </c>
      <c r="AA427" t="n">
        <v>547</v>
      </c>
      <c r="AB427" t="n">
        <v>445</v>
      </c>
      <c r="AC427" t="n">
        <v>477</v>
      </c>
      <c r="AD427" t="n">
        <v>5</v>
      </c>
      <c r="AE427" t="n">
        <v>5</v>
      </c>
      <c r="AF427" t="n">
        <v>24</v>
      </c>
      <c r="AG427" t="n">
        <v>24</v>
      </c>
      <c r="AH427" t="n">
        <v>10</v>
      </c>
      <c r="AI427" t="n">
        <v>10</v>
      </c>
      <c r="AJ427" t="n">
        <v>4</v>
      </c>
      <c r="AK427" t="n">
        <v>4</v>
      </c>
      <c r="AL427" t="n">
        <v>13</v>
      </c>
      <c r="AM427" t="n">
        <v>13</v>
      </c>
      <c r="AN427" t="n">
        <v>4</v>
      </c>
      <c r="AO427" t="n">
        <v>4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HYPERLINK("https://creighton-primo.hosted.exlibrisgroup.com/primo-explore/search?tab=default_tab&amp;search_scope=EVERYTHING&amp;vid=01CRU&amp;lang=en_US&amp;offset=0&amp;query=any,contains,991000895579702656","Catalog Record")</f>
        <v/>
      </c>
      <c r="AV427">
        <f>HYPERLINK("http://www.worldcat.org/oclc/155921","WorldCat Record")</f>
        <v/>
      </c>
      <c r="AW427" t="inlineStr">
        <is>
          <t>461043:eng</t>
        </is>
      </c>
      <c r="AX427" t="inlineStr">
        <is>
          <t>155921</t>
        </is>
      </c>
      <c r="AY427" t="inlineStr">
        <is>
          <t>991000895579702656</t>
        </is>
      </c>
      <c r="AZ427" t="inlineStr">
        <is>
          <t>991000895579702656</t>
        </is>
      </c>
      <c r="BA427" t="inlineStr">
        <is>
          <t>2256682270002656</t>
        </is>
      </c>
      <c r="BB427" t="inlineStr">
        <is>
          <t>BOOK</t>
        </is>
      </c>
      <c r="BD427" t="inlineStr">
        <is>
          <t>9780394310213</t>
        </is>
      </c>
      <c r="BE427" t="inlineStr">
        <is>
          <t>32285000323344</t>
        </is>
      </c>
      <c r="BF427" t="inlineStr">
        <is>
          <t>893231513</t>
        </is>
      </c>
    </row>
    <row r="428">
      <c r="A428" t="inlineStr">
        <is>
          <t>No</t>
        </is>
      </c>
      <c r="B428" t="inlineStr">
        <is>
          <t>CURAL</t>
        </is>
      </c>
      <c r="C428" t="inlineStr">
        <is>
          <t>SHELVES</t>
        </is>
      </c>
      <c r="D428" t="inlineStr">
        <is>
          <t>BL60 .R3 1948</t>
        </is>
      </c>
      <c r="E428" t="inlineStr">
        <is>
          <t>0                      BL 0060000R  3           1948</t>
        </is>
      </c>
      <c r="F428" t="inlineStr">
        <is>
          <t>Religion and society.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Radhakrishnan, S. (Sarvepalli), 1888-1975.</t>
        </is>
      </c>
      <c r="N428" t="inlineStr">
        <is>
          <t>London, Allen &amp; Unwin [1959] 1966 printing.</t>
        </is>
      </c>
      <c r="O428" t="inlineStr">
        <is>
          <t>1959</t>
        </is>
      </c>
      <c r="P428" t="inlineStr">
        <is>
          <t>[2d ed.]</t>
        </is>
      </c>
      <c r="Q428" t="inlineStr">
        <is>
          <t>eng</t>
        </is>
      </c>
      <c r="R428" t="inlineStr">
        <is>
          <t>___</t>
        </is>
      </c>
      <c r="S428" t="inlineStr">
        <is>
          <t>Kamala lectures</t>
        </is>
      </c>
      <c r="T428" t="inlineStr">
        <is>
          <t xml:space="preserve">BL </t>
        </is>
      </c>
      <c r="U428" t="n">
        <v>2</v>
      </c>
      <c r="V428" t="n">
        <v>2</v>
      </c>
      <c r="W428" t="inlineStr">
        <is>
          <t>2002-02-06</t>
        </is>
      </c>
      <c r="X428" t="inlineStr">
        <is>
          <t>2002-02-06</t>
        </is>
      </c>
      <c r="Y428" t="inlineStr">
        <is>
          <t>1990-09-28</t>
        </is>
      </c>
      <c r="Z428" t="inlineStr">
        <is>
          <t>1990-09-28</t>
        </is>
      </c>
      <c r="AA428" t="n">
        <v>151</v>
      </c>
      <c r="AB428" t="n">
        <v>143</v>
      </c>
      <c r="AC428" t="n">
        <v>492</v>
      </c>
      <c r="AD428" t="n">
        <v>1</v>
      </c>
      <c r="AE428" t="n">
        <v>3</v>
      </c>
      <c r="AF428" t="n">
        <v>4</v>
      </c>
      <c r="AG428" t="n">
        <v>16</v>
      </c>
      <c r="AH428" t="n">
        <v>0</v>
      </c>
      <c r="AI428" t="n">
        <v>6</v>
      </c>
      <c r="AJ428" t="n">
        <v>3</v>
      </c>
      <c r="AK428" t="n">
        <v>4</v>
      </c>
      <c r="AL428" t="n">
        <v>1</v>
      </c>
      <c r="AM428" t="n">
        <v>7</v>
      </c>
      <c r="AN428" t="n">
        <v>0</v>
      </c>
      <c r="AO428" t="n">
        <v>2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HYPERLINK("http://catalog.hathitrust.org/Record/001391535","HathiTrust Record")</f>
        <v/>
      </c>
      <c r="AU428">
        <f>HYPERLINK("https://creighton-primo.hosted.exlibrisgroup.com/primo-explore/search?tab=default_tab&amp;search_scope=EVERYTHING&amp;vid=01CRU&amp;lang=en_US&amp;offset=0&amp;query=any,contains,991002625359702656","Catalog Record")</f>
        <v/>
      </c>
      <c r="AV428">
        <f>HYPERLINK("http://www.worldcat.org/oclc/381889","WorldCat Record")</f>
        <v/>
      </c>
      <c r="AW428" t="inlineStr">
        <is>
          <t>1446414:eng</t>
        </is>
      </c>
      <c r="AX428" t="inlineStr">
        <is>
          <t>381889</t>
        </is>
      </c>
      <c r="AY428" t="inlineStr">
        <is>
          <t>991002625359702656</t>
        </is>
      </c>
      <c r="AZ428" t="inlineStr">
        <is>
          <t>991002625359702656</t>
        </is>
      </c>
      <c r="BA428" t="inlineStr">
        <is>
          <t>2259922240002656</t>
        </is>
      </c>
      <c r="BB428" t="inlineStr">
        <is>
          <t>BOOK</t>
        </is>
      </c>
      <c r="BE428" t="inlineStr">
        <is>
          <t>32285000323369</t>
        </is>
      </c>
      <c r="BF428" t="inlineStr">
        <is>
          <t>893498336</t>
        </is>
      </c>
    </row>
    <row r="429">
      <c r="A429" t="inlineStr">
        <is>
          <t>No</t>
        </is>
      </c>
      <c r="B429" t="inlineStr">
        <is>
          <t>CURAL</t>
        </is>
      </c>
      <c r="C429" t="inlineStr">
        <is>
          <t>SHELVES</t>
        </is>
      </c>
      <c r="D429" t="inlineStr">
        <is>
          <t>BL60 .R43</t>
        </is>
      </c>
      <c r="E429" t="inlineStr">
        <is>
          <t>0                      BL 0060000R  43</t>
        </is>
      </c>
      <c r="F429" t="inlineStr">
        <is>
          <t>Religious change and continuity / Harry M. Johnson, ed.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N429" t="inlineStr">
        <is>
          <t>San Francisco : Jossey-Bass, 1979.</t>
        </is>
      </c>
      <c r="O429" t="inlineStr">
        <is>
          <t>1979</t>
        </is>
      </c>
      <c r="P429" t="inlineStr">
        <is>
          <t>1st ed.</t>
        </is>
      </c>
      <c r="Q429" t="inlineStr">
        <is>
          <t>eng</t>
        </is>
      </c>
      <c r="R429" t="inlineStr">
        <is>
          <t>cau</t>
        </is>
      </c>
      <c r="S429" t="inlineStr">
        <is>
          <t>Jossey-Bass social and behavioral science series</t>
        </is>
      </c>
      <c r="T429" t="inlineStr">
        <is>
          <t xml:space="preserve">BL </t>
        </is>
      </c>
      <c r="U429" t="n">
        <v>3</v>
      </c>
      <c r="V429" t="n">
        <v>3</v>
      </c>
      <c r="W429" t="inlineStr">
        <is>
          <t>1994-04-05</t>
        </is>
      </c>
      <c r="X429" t="inlineStr">
        <is>
          <t>1994-04-05</t>
        </is>
      </c>
      <c r="Y429" t="inlineStr">
        <is>
          <t>1990-09-28</t>
        </is>
      </c>
      <c r="Z429" t="inlineStr">
        <is>
          <t>1990-09-28</t>
        </is>
      </c>
      <c r="AA429" t="n">
        <v>663</v>
      </c>
      <c r="AB429" t="n">
        <v>567</v>
      </c>
      <c r="AC429" t="n">
        <v>579</v>
      </c>
      <c r="AD429" t="n">
        <v>3</v>
      </c>
      <c r="AE429" t="n">
        <v>3</v>
      </c>
      <c r="AF429" t="n">
        <v>21</v>
      </c>
      <c r="AG429" t="n">
        <v>22</v>
      </c>
      <c r="AH429" t="n">
        <v>10</v>
      </c>
      <c r="AI429" t="n">
        <v>11</v>
      </c>
      <c r="AJ429" t="n">
        <v>5</v>
      </c>
      <c r="AK429" t="n">
        <v>5</v>
      </c>
      <c r="AL429" t="n">
        <v>10</v>
      </c>
      <c r="AM429" t="n">
        <v>10</v>
      </c>
      <c r="AN429" t="n">
        <v>2</v>
      </c>
      <c r="AO429" t="n">
        <v>2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HYPERLINK("http://catalog.hathitrust.org/Record/000025908","HathiTrust Record")</f>
        <v/>
      </c>
      <c r="AU429">
        <f>HYPERLINK("https://creighton-primo.hosted.exlibrisgroup.com/primo-explore/search?tab=default_tab&amp;search_scope=EVERYTHING&amp;vid=01CRU&amp;lang=en_US&amp;offset=0&amp;query=any,contains,991004785689702656","Catalog Record")</f>
        <v/>
      </c>
      <c r="AV429">
        <f>HYPERLINK("http://www.worldcat.org/oclc/5140597","WorldCat Record")</f>
        <v/>
      </c>
      <c r="AW429" t="inlineStr">
        <is>
          <t>365940241:eng</t>
        </is>
      </c>
      <c r="AX429" t="inlineStr">
        <is>
          <t>5140597</t>
        </is>
      </c>
      <c r="AY429" t="inlineStr">
        <is>
          <t>991004785689702656</t>
        </is>
      </c>
      <c r="AZ429" t="inlineStr">
        <is>
          <t>991004785689702656</t>
        </is>
      </c>
      <c r="BA429" t="inlineStr">
        <is>
          <t>2258852870002656</t>
        </is>
      </c>
      <c r="BB429" t="inlineStr">
        <is>
          <t>BOOK</t>
        </is>
      </c>
      <c r="BD429" t="inlineStr">
        <is>
          <t>9780875894089</t>
        </is>
      </c>
      <c r="BE429" t="inlineStr">
        <is>
          <t>32285000323377</t>
        </is>
      </c>
      <c r="BF429" t="inlineStr">
        <is>
          <t>893350377</t>
        </is>
      </c>
    </row>
    <row r="430">
      <c r="A430" t="inlineStr">
        <is>
          <t>No</t>
        </is>
      </c>
      <c r="B430" t="inlineStr">
        <is>
          <t>CURAL</t>
        </is>
      </c>
      <c r="C430" t="inlineStr">
        <is>
          <t>SHELVES</t>
        </is>
      </c>
      <c r="D430" t="inlineStr">
        <is>
          <t>BL60 .R59</t>
        </is>
      </c>
      <c r="E430" t="inlineStr">
        <is>
          <t>0                      BL 0060000R  59</t>
        </is>
      </c>
      <c r="F430" t="inlineStr">
        <is>
          <t>The sociological interpretation of religion.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M430" t="inlineStr">
        <is>
          <t>Robertson, Roland.</t>
        </is>
      </c>
      <c r="N430" t="inlineStr">
        <is>
          <t>New York, Schocken Books [1970]</t>
        </is>
      </c>
      <c r="O430" t="inlineStr">
        <is>
          <t>1970</t>
        </is>
      </c>
      <c r="Q430" t="inlineStr">
        <is>
          <t>eng</t>
        </is>
      </c>
      <c r="R430" t="inlineStr">
        <is>
          <t>nyu</t>
        </is>
      </c>
      <c r="S430" t="inlineStr">
        <is>
          <t>Introductions to sociology</t>
        </is>
      </c>
      <c r="T430" t="inlineStr">
        <is>
          <t xml:space="preserve">BL </t>
        </is>
      </c>
      <c r="U430" t="n">
        <v>2</v>
      </c>
      <c r="V430" t="n">
        <v>2</v>
      </c>
      <c r="W430" t="inlineStr">
        <is>
          <t>1994-04-05</t>
        </is>
      </c>
      <c r="X430" t="inlineStr">
        <is>
          <t>1994-04-05</t>
        </is>
      </c>
      <c r="Y430" t="inlineStr">
        <is>
          <t>1990-09-28</t>
        </is>
      </c>
      <c r="Z430" t="inlineStr">
        <is>
          <t>1990-09-28</t>
        </is>
      </c>
      <c r="AA430" t="n">
        <v>531</v>
      </c>
      <c r="AB430" t="n">
        <v>476</v>
      </c>
      <c r="AC430" t="n">
        <v>581</v>
      </c>
      <c r="AD430" t="n">
        <v>6</v>
      </c>
      <c r="AE430" t="n">
        <v>6</v>
      </c>
      <c r="AF430" t="n">
        <v>28</v>
      </c>
      <c r="AG430" t="n">
        <v>30</v>
      </c>
      <c r="AH430" t="n">
        <v>8</v>
      </c>
      <c r="AI430" t="n">
        <v>10</v>
      </c>
      <c r="AJ430" t="n">
        <v>5</v>
      </c>
      <c r="AK430" t="n">
        <v>5</v>
      </c>
      <c r="AL430" t="n">
        <v>16</v>
      </c>
      <c r="AM430" t="n">
        <v>17</v>
      </c>
      <c r="AN430" t="n">
        <v>5</v>
      </c>
      <c r="AO430" t="n">
        <v>5</v>
      </c>
      <c r="AP430" t="n">
        <v>0</v>
      </c>
      <c r="AQ430" t="n">
        <v>0</v>
      </c>
      <c r="AR430" t="inlineStr">
        <is>
          <t>No</t>
        </is>
      </c>
      <c r="AS430" t="inlineStr">
        <is>
          <t>Yes</t>
        </is>
      </c>
      <c r="AT430">
        <f>HYPERLINK("http://catalog.hathitrust.org/Record/101870562","HathiTrust Record")</f>
        <v/>
      </c>
      <c r="AU430">
        <f>HYPERLINK("https://creighton-primo.hosted.exlibrisgroup.com/primo-explore/search?tab=default_tab&amp;search_scope=EVERYTHING&amp;vid=01CRU&amp;lang=en_US&amp;offset=0&amp;query=any,contains,991000136959702656","Catalog Record")</f>
        <v/>
      </c>
      <c r="AV430">
        <f>HYPERLINK("http://www.worldcat.org/oclc/56838","WorldCat Record")</f>
        <v/>
      </c>
      <c r="AW430" t="inlineStr">
        <is>
          <t>1190399:eng</t>
        </is>
      </c>
      <c r="AX430" t="inlineStr">
        <is>
          <t>56838</t>
        </is>
      </c>
      <c r="AY430" t="inlineStr">
        <is>
          <t>991000136959702656</t>
        </is>
      </c>
      <c r="AZ430" t="inlineStr">
        <is>
          <t>991000136959702656</t>
        </is>
      </c>
      <c r="BA430" t="inlineStr">
        <is>
          <t>2261360850002656</t>
        </is>
      </c>
      <c r="BB430" t="inlineStr">
        <is>
          <t>BOOK</t>
        </is>
      </c>
      <c r="BE430" t="inlineStr">
        <is>
          <t>32285000323393</t>
        </is>
      </c>
      <c r="BF430" t="inlineStr">
        <is>
          <t>893877839</t>
        </is>
      </c>
    </row>
    <row r="431">
      <c r="A431" t="inlineStr">
        <is>
          <t>No</t>
        </is>
      </c>
      <c r="B431" t="inlineStr">
        <is>
          <t>CURAL</t>
        </is>
      </c>
      <c r="C431" t="inlineStr">
        <is>
          <t>SHELVES</t>
        </is>
      </c>
      <c r="D431" t="inlineStr">
        <is>
          <t>BL60 .R6</t>
        </is>
      </c>
      <c r="E431" t="inlineStr">
        <is>
          <t>0                      BL 0060000R  6</t>
        </is>
      </c>
      <c r="F431" t="inlineStr">
        <is>
          <t>Sociology of religion: selected readings.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Robertson, Roland compiler.</t>
        </is>
      </c>
      <c r="N431" t="inlineStr">
        <is>
          <t>Harmondsworth, Penguin, 1969.</t>
        </is>
      </c>
      <c r="O431" t="inlineStr">
        <is>
          <t>1969</t>
        </is>
      </c>
      <c r="Q431" t="inlineStr">
        <is>
          <t>eng</t>
        </is>
      </c>
      <c r="R431" t="inlineStr">
        <is>
          <t>enk</t>
        </is>
      </c>
      <c r="S431" t="inlineStr">
        <is>
          <t>Penguin Education</t>
        </is>
      </c>
      <c r="T431" t="inlineStr">
        <is>
          <t xml:space="preserve">BL </t>
        </is>
      </c>
      <c r="U431" t="n">
        <v>1</v>
      </c>
      <c r="V431" t="n">
        <v>1</v>
      </c>
      <c r="W431" t="inlineStr">
        <is>
          <t>2008-04-26</t>
        </is>
      </c>
      <c r="X431" t="inlineStr">
        <is>
          <t>2008-04-26</t>
        </is>
      </c>
      <c r="Y431" t="inlineStr">
        <is>
          <t>1990-09-28</t>
        </is>
      </c>
      <c r="Z431" t="inlineStr">
        <is>
          <t>1990-09-28</t>
        </is>
      </c>
      <c r="AA431" t="n">
        <v>310</v>
      </c>
      <c r="AB431" t="n">
        <v>117</v>
      </c>
      <c r="AC431" t="n">
        <v>379</v>
      </c>
      <c r="AD431" t="n">
        <v>1</v>
      </c>
      <c r="AE431" t="n">
        <v>3</v>
      </c>
      <c r="AF431" t="n">
        <v>9</v>
      </c>
      <c r="AG431" t="n">
        <v>19</v>
      </c>
      <c r="AH431" t="n">
        <v>1</v>
      </c>
      <c r="AI431" t="n">
        <v>3</v>
      </c>
      <c r="AJ431" t="n">
        <v>1</v>
      </c>
      <c r="AK431" t="n">
        <v>3</v>
      </c>
      <c r="AL431" t="n">
        <v>8</v>
      </c>
      <c r="AM431" t="n">
        <v>14</v>
      </c>
      <c r="AN431" t="n">
        <v>0</v>
      </c>
      <c r="AO431" t="n">
        <v>2</v>
      </c>
      <c r="AP431" t="n">
        <v>0</v>
      </c>
      <c r="AQ431" t="n">
        <v>0</v>
      </c>
      <c r="AR431" t="inlineStr">
        <is>
          <t>No</t>
        </is>
      </c>
      <c r="AS431" t="inlineStr">
        <is>
          <t>No</t>
        </is>
      </c>
      <c r="AU431">
        <f>HYPERLINK("https://creighton-primo.hosted.exlibrisgroup.com/primo-explore/search?tab=default_tab&amp;search_scope=EVERYTHING&amp;vid=01CRU&amp;lang=en_US&amp;offset=0&amp;query=any,contains,991000166929702656","Catalog Record")</f>
        <v/>
      </c>
      <c r="AV431">
        <f>HYPERLINK("http://www.worldcat.org/oclc/61686","WorldCat Record")</f>
        <v/>
      </c>
      <c r="AW431" t="inlineStr">
        <is>
          <t>1090725152:eng</t>
        </is>
      </c>
      <c r="AX431" t="inlineStr">
        <is>
          <t>61686</t>
        </is>
      </c>
      <c r="AY431" t="inlineStr">
        <is>
          <t>991000166929702656</t>
        </is>
      </c>
      <c r="AZ431" t="inlineStr">
        <is>
          <t>991000166929702656</t>
        </is>
      </c>
      <c r="BA431" t="inlineStr">
        <is>
          <t>2255366540002656</t>
        </is>
      </c>
      <c r="BB431" t="inlineStr">
        <is>
          <t>BOOK</t>
        </is>
      </c>
      <c r="BD431" t="inlineStr">
        <is>
          <t>9780140801248</t>
        </is>
      </c>
      <c r="BE431" t="inlineStr">
        <is>
          <t>32285000323401</t>
        </is>
      </c>
      <c r="BF431" t="inlineStr">
        <is>
          <t>893508572</t>
        </is>
      </c>
    </row>
    <row r="432">
      <c r="A432" t="inlineStr">
        <is>
          <t>No</t>
        </is>
      </c>
      <c r="B432" t="inlineStr">
        <is>
          <t>CURAL</t>
        </is>
      </c>
      <c r="C432" t="inlineStr">
        <is>
          <t>SHELVES</t>
        </is>
      </c>
      <c r="D432" t="inlineStr">
        <is>
          <t>BL60 .S28 1971</t>
        </is>
      </c>
      <c r="E432" t="inlineStr">
        <is>
          <t>0                      BL 0060000S  28          1971</t>
        </is>
      </c>
      <c r="F432" t="inlineStr">
        <is>
          <t>The sociological study of religion [by] Betty R. Scharf.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Scharf, Betty R.</t>
        </is>
      </c>
      <c r="N432" t="inlineStr">
        <is>
          <t>New York, Harper &amp; Row [1971]</t>
        </is>
      </c>
      <c r="O432" t="inlineStr">
        <is>
          <t>1971</t>
        </is>
      </c>
      <c r="P432" t="inlineStr">
        <is>
          <t>[1st Harper torchbook ed.]</t>
        </is>
      </c>
      <c r="Q432" t="inlineStr">
        <is>
          <t>eng</t>
        </is>
      </c>
      <c r="R432" t="inlineStr">
        <is>
          <t>nyu</t>
        </is>
      </c>
      <c r="S432" t="inlineStr">
        <is>
          <t>Harper torchbooks ; TB1601</t>
        </is>
      </c>
      <c r="T432" t="inlineStr">
        <is>
          <t xml:space="preserve">BL </t>
        </is>
      </c>
      <c r="U432" t="n">
        <v>4</v>
      </c>
      <c r="V432" t="n">
        <v>4</v>
      </c>
      <c r="W432" t="inlineStr">
        <is>
          <t>1994-04-05</t>
        </is>
      </c>
      <c r="X432" t="inlineStr">
        <is>
          <t>1994-04-05</t>
        </is>
      </c>
      <c r="Y432" t="inlineStr">
        <is>
          <t>1990-09-28</t>
        </is>
      </c>
      <c r="Z432" t="inlineStr">
        <is>
          <t>1990-09-28</t>
        </is>
      </c>
      <c r="AA432" t="n">
        <v>174</v>
      </c>
      <c r="AB432" t="n">
        <v>154</v>
      </c>
      <c r="AC432" t="n">
        <v>377</v>
      </c>
      <c r="AD432" t="n">
        <v>3</v>
      </c>
      <c r="AE432" t="n">
        <v>5</v>
      </c>
      <c r="AF432" t="n">
        <v>7</v>
      </c>
      <c r="AG432" t="n">
        <v>21</v>
      </c>
      <c r="AH432" t="n">
        <v>2</v>
      </c>
      <c r="AI432" t="n">
        <v>10</v>
      </c>
      <c r="AJ432" t="n">
        <v>1</v>
      </c>
      <c r="AK432" t="n">
        <v>3</v>
      </c>
      <c r="AL432" t="n">
        <v>2</v>
      </c>
      <c r="AM432" t="n">
        <v>9</v>
      </c>
      <c r="AN432" t="n">
        <v>2</v>
      </c>
      <c r="AO432" t="n">
        <v>4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HYPERLINK("https://creighton-primo.hosted.exlibrisgroup.com/primo-explore/search?tab=default_tab&amp;search_scope=EVERYTHING&amp;vid=01CRU&amp;lang=en_US&amp;offset=0&amp;query=any,contains,991001237699702656","Catalog Record")</f>
        <v/>
      </c>
      <c r="AV432">
        <f>HYPERLINK("http://www.worldcat.org/oclc/206820","WorldCat Record")</f>
        <v/>
      </c>
      <c r="AW432" t="inlineStr">
        <is>
          <t>1271000:eng</t>
        </is>
      </c>
      <c r="AX432" t="inlineStr">
        <is>
          <t>206820</t>
        </is>
      </c>
      <c r="AY432" t="inlineStr">
        <is>
          <t>991001237699702656</t>
        </is>
      </c>
      <c r="AZ432" t="inlineStr">
        <is>
          <t>991001237699702656</t>
        </is>
      </c>
      <c r="BA432" t="inlineStr">
        <is>
          <t>2255146180002656</t>
        </is>
      </c>
      <c r="BB432" t="inlineStr">
        <is>
          <t>BOOK</t>
        </is>
      </c>
      <c r="BD432" t="inlineStr">
        <is>
          <t>9780061316012</t>
        </is>
      </c>
      <c r="BE432" t="inlineStr">
        <is>
          <t>32285000323419</t>
        </is>
      </c>
      <c r="BF432" t="inlineStr">
        <is>
          <t>893608687</t>
        </is>
      </c>
    </row>
    <row r="433">
      <c r="A433" t="inlineStr">
        <is>
          <t>No</t>
        </is>
      </c>
      <c r="B433" t="inlineStr">
        <is>
          <t>CURAL</t>
        </is>
      </c>
      <c r="C433" t="inlineStr">
        <is>
          <t>SHELVES</t>
        </is>
      </c>
      <c r="D433" t="inlineStr">
        <is>
          <t>BL60 .S3</t>
        </is>
      </c>
      <c r="E433" t="inlineStr">
        <is>
          <t>0                      BL 0060000S  3</t>
        </is>
      </c>
      <c r="F433" t="inlineStr">
        <is>
          <t>Religion, culture, and society : a reader in the sociology of religion.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Schneider, Louis, 1915-, editor.</t>
        </is>
      </c>
      <c r="N433" t="inlineStr">
        <is>
          <t>New York, Wiley [1964] 1966 printing.</t>
        </is>
      </c>
      <c r="O433" t="inlineStr">
        <is>
          <t>1964</t>
        </is>
      </c>
      <c r="Q433" t="inlineStr">
        <is>
          <t>eng</t>
        </is>
      </c>
      <c r="R433" t="inlineStr">
        <is>
          <t>___</t>
        </is>
      </c>
      <c r="T433" t="inlineStr">
        <is>
          <t xml:space="preserve">BL </t>
        </is>
      </c>
      <c r="U433" t="n">
        <v>3</v>
      </c>
      <c r="V433" t="n">
        <v>3</v>
      </c>
      <c r="W433" t="inlineStr">
        <is>
          <t>1996-04-14</t>
        </is>
      </c>
      <c r="X433" t="inlineStr">
        <is>
          <t>1996-04-14</t>
        </is>
      </c>
      <c r="Y433" t="inlineStr">
        <is>
          <t>1990-09-28</t>
        </is>
      </c>
      <c r="Z433" t="inlineStr">
        <is>
          <t>1990-09-28</t>
        </is>
      </c>
      <c r="AA433" t="n">
        <v>898</v>
      </c>
      <c r="AB433" t="n">
        <v>708</v>
      </c>
      <c r="AC433" t="n">
        <v>715</v>
      </c>
      <c r="AD433" t="n">
        <v>7</v>
      </c>
      <c r="AE433" t="n">
        <v>7</v>
      </c>
      <c r="AF433" t="n">
        <v>35</v>
      </c>
      <c r="AG433" t="n">
        <v>35</v>
      </c>
      <c r="AH433" t="n">
        <v>14</v>
      </c>
      <c r="AI433" t="n">
        <v>14</v>
      </c>
      <c r="AJ433" t="n">
        <v>5</v>
      </c>
      <c r="AK433" t="n">
        <v>5</v>
      </c>
      <c r="AL433" t="n">
        <v>18</v>
      </c>
      <c r="AM433" t="n">
        <v>18</v>
      </c>
      <c r="AN433" t="n">
        <v>6</v>
      </c>
      <c r="AO433" t="n">
        <v>6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HYPERLINK("http://catalog.hathitrust.org/Record/001391538","HathiTrust Record")</f>
        <v/>
      </c>
      <c r="AU433">
        <f>HYPERLINK("https://creighton-primo.hosted.exlibrisgroup.com/primo-explore/search?tab=default_tab&amp;search_scope=EVERYTHING&amp;vid=01CRU&amp;lang=en_US&amp;offset=0&amp;query=any,contains,991002589009702656","Catalog Record")</f>
        <v/>
      </c>
      <c r="AV433">
        <f>HYPERLINK("http://www.worldcat.org/oclc/375412","WorldCat Record")</f>
        <v/>
      </c>
      <c r="AW433" t="inlineStr">
        <is>
          <t>868832732:eng</t>
        </is>
      </c>
      <c r="AX433" t="inlineStr">
        <is>
          <t>375412</t>
        </is>
      </c>
      <c r="AY433" t="inlineStr">
        <is>
          <t>991002589009702656</t>
        </is>
      </c>
      <c r="AZ433" t="inlineStr">
        <is>
          <t>991002589009702656</t>
        </is>
      </c>
      <c r="BA433" t="inlineStr">
        <is>
          <t>2264003910002656</t>
        </is>
      </c>
      <c r="BB433" t="inlineStr">
        <is>
          <t>BOOK</t>
        </is>
      </c>
      <c r="BE433" t="inlineStr">
        <is>
          <t>32285000323435</t>
        </is>
      </c>
      <c r="BF433" t="inlineStr">
        <is>
          <t>893704248</t>
        </is>
      </c>
    </row>
    <row r="434">
      <c r="A434" t="inlineStr">
        <is>
          <t>No</t>
        </is>
      </c>
      <c r="B434" t="inlineStr">
        <is>
          <t>CURAL</t>
        </is>
      </c>
      <c r="C434" t="inlineStr">
        <is>
          <t>SHELVES</t>
        </is>
      </c>
      <c r="D434" t="inlineStr">
        <is>
          <t>BL60 .S43 1993</t>
        </is>
      </c>
      <c r="E434" t="inlineStr">
        <is>
          <t>0                      BL 0060000S  43          1993</t>
        </is>
      </c>
      <c r="F434" t="inlineStr">
        <is>
          <t>Secularization, rationalism, and sectarianism : essays in honour of Bryan R. Wilson / edited by Eileen Barker, James A. Beckford, and Karel Dobbelaere.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Oxford : Clarendon Press ; New York : Oxford University Press, 1993.</t>
        </is>
      </c>
      <c r="O434" t="inlineStr">
        <is>
          <t>1993</t>
        </is>
      </c>
      <c r="Q434" t="inlineStr">
        <is>
          <t>eng</t>
        </is>
      </c>
      <c r="R434" t="inlineStr">
        <is>
          <t>enk</t>
        </is>
      </c>
      <c r="T434" t="inlineStr">
        <is>
          <t xml:space="preserve">BL </t>
        </is>
      </c>
      <c r="U434" t="n">
        <v>3</v>
      </c>
      <c r="V434" t="n">
        <v>3</v>
      </c>
      <c r="W434" t="inlineStr">
        <is>
          <t>1997-05-19</t>
        </is>
      </c>
      <c r="X434" t="inlineStr">
        <is>
          <t>1997-05-19</t>
        </is>
      </c>
      <c r="Y434" t="inlineStr">
        <is>
          <t>1994-01-26</t>
        </is>
      </c>
      <c r="Z434" t="inlineStr">
        <is>
          <t>1994-01-26</t>
        </is>
      </c>
      <c r="AA434" t="n">
        <v>296</v>
      </c>
      <c r="AB434" t="n">
        <v>191</v>
      </c>
      <c r="AC434" t="n">
        <v>192</v>
      </c>
      <c r="AD434" t="n">
        <v>3</v>
      </c>
      <c r="AE434" t="n">
        <v>3</v>
      </c>
      <c r="AF434" t="n">
        <v>15</v>
      </c>
      <c r="AG434" t="n">
        <v>15</v>
      </c>
      <c r="AH434" t="n">
        <v>3</v>
      </c>
      <c r="AI434" t="n">
        <v>3</v>
      </c>
      <c r="AJ434" t="n">
        <v>5</v>
      </c>
      <c r="AK434" t="n">
        <v>5</v>
      </c>
      <c r="AL434" t="n">
        <v>9</v>
      </c>
      <c r="AM434" t="n">
        <v>9</v>
      </c>
      <c r="AN434" t="n">
        <v>2</v>
      </c>
      <c r="AO434" t="n">
        <v>2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HYPERLINK("http://catalog.hathitrust.org/Record/002700739","HathiTrust Record")</f>
        <v/>
      </c>
      <c r="AU434">
        <f>HYPERLINK("https://creighton-primo.hosted.exlibrisgroup.com/primo-explore/search?tab=default_tab&amp;search_scope=EVERYTHING&amp;vid=01CRU&amp;lang=en_US&amp;offset=0&amp;query=any,contains,991002109909702656","Catalog Record")</f>
        <v/>
      </c>
      <c r="AV434">
        <f>HYPERLINK("http://www.worldcat.org/oclc/27035668","WorldCat Record")</f>
        <v/>
      </c>
      <c r="AW434" t="inlineStr">
        <is>
          <t>807166539:eng</t>
        </is>
      </c>
      <c r="AX434" t="inlineStr">
        <is>
          <t>27035668</t>
        </is>
      </c>
      <c r="AY434" t="inlineStr">
        <is>
          <t>991002109909702656</t>
        </is>
      </c>
      <c r="AZ434" t="inlineStr">
        <is>
          <t>991002109909702656</t>
        </is>
      </c>
      <c r="BA434" t="inlineStr">
        <is>
          <t>2270272410002656</t>
        </is>
      </c>
      <c r="BB434" t="inlineStr">
        <is>
          <t>BOOK</t>
        </is>
      </c>
      <c r="BD434" t="inlineStr">
        <is>
          <t>9780198277217</t>
        </is>
      </c>
      <c r="BE434" t="inlineStr">
        <is>
          <t>32285001833705</t>
        </is>
      </c>
      <c r="BF434" t="inlineStr">
        <is>
          <t>893497733</t>
        </is>
      </c>
    </row>
    <row r="435">
      <c r="A435" t="inlineStr">
        <is>
          <t>No</t>
        </is>
      </c>
      <c r="B435" t="inlineStr">
        <is>
          <t>CURAL</t>
        </is>
      </c>
      <c r="C435" t="inlineStr">
        <is>
          <t>SHELVES</t>
        </is>
      </c>
      <c r="D435" t="inlineStr">
        <is>
          <t>BL60 .T44 1987</t>
        </is>
      </c>
      <c r="E435" t="inlineStr">
        <is>
          <t>0                      BL 0060000T  44          1987</t>
        </is>
      </c>
      <c r="F435" t="inlineStr">
        <is>
          <t>Theology and sociology : a reader / edited and introduced by Robin Gill.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Yes</t>
        </is>
      </c>
      <c r="L435" t="inlineStr">
        <is>
          <t>0</t>
        </is>
      </c>
      <c r="N435" t="inlineStr">
        <is>
          <t>London : Chapman ; New York : Paulist Press, 1987.</t>
        </is>
      </c>
      <c r="O435" t="inlineStr">
        <is>
          <t>1987</t>
        </is>
      </c>
      <c r="Q435" t="inlineStr">
        <is>
          <t>eng</t>
        </is>
      </c>
      <c r="R435" t="inlineStr">
        <is>
          <t>enk</t>
        </is>
      </c>
      <c r="T435" t="inlineStr">
        <is>
          <t xml:space="preserve">BL </t>
        </is>
      </c>
      <c r="U435" t="n">
        <v>2</v>
      </c>
      <c r="V435" t="n">
        <v>2</v>
      </c>
      <c r="W435" t="inlineStr">
        <is>
          <t>1994-04-28</t>
        </is>
      </c>
      <c r="X435" t="inlineStr">
        <is>
          <t>1994-04-28</t>
        </is>
      </c>
      <c r="Y435" t="inlineStr">
        <is>
          <t>1990-09-28</t>
        </is>
      </c>
      <c r="Z435" t="inlineStr">
        <is>
          <t>1990-09-28</t>
        </is>
      </c>
      <c r="AA435" t="n">
        <v>226</v>
      </c>
      <c r="AB435" t="n">
        <v>142</v>
      </c>
      <c r="AC435" t="n">
        <v>216</v>
      </c>
      <c r="AD435" t="n">
        <v>2</v>
      </c>
      <c r="AE435" t="n">
        <v>3</v>
      </c>
      <c r="AF435" t="n">
        <v>13</v>
      </c>
      <c r="AG435" t="n">
        <v>18</v>
      </c>
      <c r="AH435" t="n">
        <v>4</v>
      </c>
      <c r="AI435" t="n">
        <v>6</v>
      </c>
      <c r="AJ435" t="n">
        <v>3</v>
      </c>
      <c r="AK435" t="n">
        <v>3</v>
      </c>
      <c r="AL435" t="n">
        <v>10</v>
      </c>
      <c r="AM435" t="n">
        <v>13</v>
      </c>
      <c r="AN435" t="n">
        <v>1</v>
      </c>
      <c r="AO435" t="n">
        <v>2</v>
      </c>
      <c r="AP435" t="n">
        <v>0</v>
      </c>
      <c r="AQ435" t="n">
        <v>0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HYPERLINK("http://catalog.hathitrust.org/Record/101879441","HathiTrust Record")</f>
        <v/>
      </c>
      <c r="AU435">
        <f>HYPERLINK("https://creighton-primo.hosted.exlibrisgroup.com/primo-explore/search?tab=default_tab&amp;search_scope=EVERYTHING&amp;vid=01CRU&amp;lang=en_US&amp;offset=0&amp;query=any,contains,991001166879702656","Catalog Record")</f>
        <v/>
      </c>
      <c r="AV435">
        <f>HYPERLINK("http://www.worldcat.org/oclc/16924386","WorldCat Record")</f>
        <v/>
      </c>
      <c r="AW435" t="inlineStr">
        <is>
          <t>836732763:eng</t>
        </is>
      </c>
      <c r="AX435" t="inlineStr">
        <is>
          <t>16924386</t>
        </is>
      </c>
      <c r="AY435" t="inlineStr">
        <is>
          <t>991001166879702656</t>
        </is>
      </c>
      <c r="AZ435" t="inlineStr">
        <is>
          <t>991001166879702656</t>
        </is>
      </c>
      <c r="BA435" t="inlineStr">
        <is>
          <t>2271128020002656</t>
        </is>
      </c>
      <c r="BB435" t="inlineStr">
        <is>
          <t>BOOK</t>
        </is>
      </c>
      <c r="BD435" t="inlineStr">
        <is>
          <t>9780225665222</t>
        </is>
      </c>
      <c r="BE435" t="inlineStr">
        <is>
          <t>32285000323526</t>
        </is>
      </c>
      <c r="BF435" t="inlineStr">
        <is>
          <t>893684105</t>
        </is>
      </c>
    </row>
    <row r="436">
      <c r="A436" t="inlineStr">
        <is>
          <t>No</t>
        </is>
      </c>
      <c r="B436" t="inlineStr">
        <is>
          <t>CURAL</t>
        </is>
      </c>
      <c r="C436" t="inlineStr">
        <is>
          <t>SHELVES</t>
        </is>
      </c>
      <c r="D436" t="inlineStr">
        <is>
          <t>BL60 .T87 1983</t>
        </is>
      </c>
      <c r="E436" t="inlineStr">
        <is>
          <t>0                      BL 0060000T  87          1983</t>
        </is>
      </c>
      <c r="F436" t="inlineStr">
        <is>
          <t>Religion and social theory : a materialist perspective / Bryan S. Turner.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Turner, Bryan S.</t>
        </is>
      </c>
      <c r="N436" t="inlineStr">
        <is>
          <t>London : Heinemann ; New Jersey : Humanities Press, 1983.</t>
        </is>
      </c>
      <c r="O436" t="inlineStr">
        <is>
          <t>1983</t>
        </is>
      </c>
      <c r="Q436" t="inlineStr">
        <is>
          <t>eng</t>
        </is>
      </c>
      <c r="R436" t="inlineStr">
        <is>
          <t>enk</t>
        </is>
      </c>
      <c r="T436" t="inlineStr">
        <is>
          <t xml:space="preserve">BL </t>
        </is>
      </c>
      <c r="U436" t="n">
        <v>7</v>
      </c>
      <c r="V436" t="n">
        <v>7</v>
      </c>
      <c r="W436" t="inlineStr">
        <is>
          <t>2007-11-19</t>
        </is>
      </c>
      <c r="X436" t="inlineStr">
        <is>
          <t>2007-11-19</t>
        </is>
      </c>
      <c r="Y436" t="inlineStr">
        <is>
          <t>1990-09-28</t>
        </is>
      </c>
      <c r="Z436" t="inlineStr">
        <is>
          <t>1990-09-28</t>
        </is>
      </c>
      <c r="AA436" t="n">
        <v>292</v>
      </c>
      <c r="AB436" t="n">
        <v>172</v>
      </c>
      <c r="AC436" t="n">
        <v>688</v>
      </c>
      <c r="AD436" t="n">
        <v>1</v>
      </c>
      <c r="AE436" t="n">
        <v>4</v>
      </c>
      <c r="AF436" t="n">
        <v>8</v>
      </c>
      <c r="AG436" t="n">
        <v>22</v>
      </c>
      <c r="AH436" t="n">
        <v>2</v>
      </c>
      <c r="AI436" t="n">
        <v>7</v>
      </c>
      <c r="AJ436" t="n">
        <v>2</v>
      </c>
      <c r="AK436" t="n">
        <v>6</v>
      </c>
      <c r="AL436" t="n">
        <v>6</v>
      </c>
      <c r="AM436" t="n">
        <v>12</v>
      </c>
      <c r="AN436" t="n">
        <v>0</v>
      </c>
      <c r="AO436" t="n">
        <v>3</v>
      </c>
      <c r="AP436" t="n">
        <v>0</v>
      </c>
      <c r="AQ436" t="n">
        <v>0</v>
      </c>
      <c r="AR436" t="inlineStr">
        <is>
          <t>No</t>
        </is>
      </c>
      <c r="AS436" t="inlineStr">
        <is>
          <t>Yes</t>
        </is>
      </c>
      <c r="AT436">
        <f>HYPERLINK("http://catalog.hathitrust.org/Record/009919104","HathiTrust Record")</f>
        <v/>
      </c>
      <c r="AU436">
        <f>HYPERLINK("https://creighton-primo.hosted.exlibrisgroup.com/primo-explore/search?tab=default_tab&amp;search_scope=EVERYTHING&amp;vid=01CRU&amp;lang=en_US&amp;offset=0&amp;query=any,contains,991000721609702656","Catalog Record")</f>
        <v/>
      </c>
      <c r="AV436">
        <f>HYPERLINK("http://www.worldcat.org/oclc/12666860","WorldCat Record")</f>
        <v/>
      </c>
      <c r="AW436" t="inlineStr">
        <is>
          <t>1058067:eng</t>
        </is>
      </c>
      <c r="AX436" t="inlineStr">
        <is>
          <t>12666860</t>
        </is>
      </c>
      <c r="AY436" t="inlineStr">
        <is>
          <t>991000721609702656</t>
        </is>
      </c>
      <c r="AZ436" t="inlineStr">
        <is>
          <t>991000721609702656</t>
        </is>
      </c>
      <c r="BA436" t="inlineStr">
        <is>
          <t>2266109640002656</t>
        </is>
      </c>
      <c r="BB436" t="inlineStr">
        <is>
          <t>BOOK</t>
        </is>
      </c>
      <c r="BD436" t="inlineStr">
        <is>
          <t>9780391029774</t>
        </is>
      </c>
      <c r="BE436" t="inlineStr">
        <is>
          <t>32285000323542</t>
        </is>
      </c>
      <c r="BF436" t="inlineStr">
        <is>
          <t>893255663</t>
        </is>
      </c>
    </row>
    <row r="437">
      <c r="A437" t="inlineStr">
        <is>
          <t>No</t>
        </is>
      </c>
      <c r="B437" t="inlineStr">
        <is>
          <t>CURAL</t>
        </is>
      </c>
      <c r="C437" t="inlineStr">
        <is>
          <t>SHELVES</t>
        </is>
      </c>
      <c r="D437" t="inlineStr">
        <is>
          <t>BL60 .V47</t>
        </is>
      </c>
      <c r="E437" t="inlineStr">
        <is>
          <t>0                      BL 0060000V  47</t>
        </is>
      </c>
      <c r="F437" t="inlineStr">
        <is>
          <t>Sociology of religion.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M437" t="inlineStr">
        <is>
          <t>Vernon, Glenn M.</t>
        </is>
      </c>
      <c r="N437" t="inlineStr">
        <is>
          <t>New York, McGraw-Hill, 1962.</t>
        </is>
      </c>
      <c r="O437" t="inlineStr">
        <is>
          <t>1962</t>
        </is>
      </c>
      <c r="Q437" t="inlineStr">
        <is>
          <t>eng</t>
        </is>
      </c>
      <c r="R437" t="inlineStr">
        <is>
          <t>___</t>
        </is>
      </c>
      <c r="S437" t="inlineStr">
        <is>
          <t>McGraw-Hill series in sociology</t>
        </is>
      </c>
      <c r="T437" t="inlineStr">
        <is>
          <t xml:space="preserve">BL </t>
        </is>
      </c>
      <c r="U437" t="n">
        <v>2</v>
      </c>
      <c r="V437" t="n">
        <v>2</v>
      </c>
      <c r="W437" t="inlineStr">
        <is>
          <t>1992-11-11</t>
        </is>
      </c>
      <c r="X437" t="inlineStr">
        <is>
          <t>1992-11-11</t>
        </is>
      </c>
      <c r="Y437" t="inlineStr">
        <is>
          <t>1990-09-28</t>
        </is>
      </c>
      <c r="Z437" t="inlineStr">
        <is>
          <t>1990-09-28</t>
        </is>
      </c>
      <c r="AA437" t="n">
        <v>672</v>
      </c>
      <c r="AB437" t="n">
        <v>536</v>
      </c>
      <c r="AC437" t="n">
        <v>549</v>
      </c>
      <c r="AD437" t="n">
        <v>4</v>
      </c>
      <c r="AE437" t="n">
        <v>4</v>
      </c>
      <c r="AF437" t="n">
        <v>22</v>
      </c>
      <c r="AG437" t="n">
        <v>22</v>
      </c>
      <c r="AH437" t="n">
        <v>10</v>
      </c>
      <c r="AI437" t="n">
        <v>10</v>
      </c>
      <c r="AJ437" t="n">
        <v>3</v>
      </c>
      <c r="AK437" t="n">
        <v>3</v>
      </c>
      <c r="AL437" t="n">
        <v>13</v>
      </c>
      <c r="AM437" t="n">
        <v>13</v>
      </c>
      <c r="AN437" t="n">
        <v>3</v>
      </c>
      <c r="AO437" t="n">
        <v>3</v>
      </c>
      <c r="AP437" t="n">
        <v>0</v>
      </c>
      <c r="AQ437" t="n">
        <v>0</v>
      </c>
      <c r="AR437" t="inlineStr">
        <is>
          <t>Yes</t>
        </is>
      </c>
      <c r="AS437" t="inlineStr">
        <is>
          <t>No</t>
        </is>
      </c>
      <c r="AT437">
        <f>HYPERLINK("http://catalog.hathitrust.org/Record/001391545","HathiTrust Record")</f>
        <v/>
      </c>
      <c r="AU437">
        <f>HYPERLINK("https://creighton-primo.hosted.exlibrisgroup.com/primo-explore/search?tab=default_tab&amp;search_scope=EVERYTHING&amp;vid=01CRU&amp;lang=en_US&amp;offset=0&amp;query=any,contains,991002400619702656","Catalog Record")</f>
        <v/>
      </c>
      <c r="AV437">
        <f>HYPERLINK("http://www.worldcat.org/oclc/336604","WorldCat Record")</f>
        <v/>
      </c>
      <c r="AW437" t="inlineStr">
        <is>
          <t>1457501:eng</t>
        </is>
      </c>
      <c r="AX437" t="inlineStr">
        <is>
          <t>336604</t>
        </is>
      </c>
      <c r="AY437" t="inlineStr">
        <is>
          <t>991002400619702656</t>
        </is>
      </c>
      <c r="AZ437" t="inlineStr">
        <is>
          <t>991002400619702656</t>
        </is>
      </c>
      <c r="BA437" t="inlineStr">
        <is>
          <t>2254704540002656</t>
        </is>
      </c>
      <c r="BB437" t="inlineStr">
        <is>
          <t>BOOK</t>
        </is>
      </c>
      <c r="BE437" t="inlineStr">
        <is>
          <t>32285000323559</t>
        </is>
      </c>
      <c r="BF437" t="inlineStr">
        <is>
          <t>893710244</t>
        </is>
      </c>
    </row>
    <row r="438">
      <c r="A438" t="inlineStr">
        <is>
          <t>No</t>
        </is>
      </c>
      <c r="B438" t="inlineStr">
        <is>
          <t>CURAL</t>
        </is>
      </c>
      <c r="C438" t="inlineStr">
        <is>
          <t>SHELVES</t>
        </is>
      </c>
      <c r="D438" t="inlineStr">
        <is>
          <t>BL60 .W34 1986</t>
        </is>
      </c>
      <c r="E438" t="inlineStr">
        <is>
          <t>0                      BL 0060000W  34          1986</t>
        </is>
      </c>
      <c r="F438" t="inlineStr">
        <is>
          <t>Sociological theory, religion and collective action / Roy Wallis and Steve Bruce.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M438" t="inlineStr">
        <is>
          <t>Wallis, Roy.</t>
        </is>
      </c>
      <c r="N438" t="inlineStr">
        <is>
          <t>Belfast, Northern Ireland : Queen's University, 1986.</t>
        </is>
      </c>
      <c r="O438" t="inlineStr">
        <is>
          <t>1986</t>
        </is>
      </c>
      <c r="Q438" t="inlineStr">
        <is>
          <t>eng</t>
        </is>
      </c>
      <c r="R438" t="inlineStr">
        <is>
          <t>nik</t>
        </is>
      </c>
      <c r="T438" t="inlineStr">
        <is>
          <t xml:space="preserve">BL </t>
        </is>
      </c>
      <c r="U438" t="n">
        <v>2</v>
      </c>
      <c r="V438" t="n">
        <v>2</v>
      </c>
      <c r="W438" t="inlineStr">
        <is>
          <t>1994-03-22</t>
        </is>
      </c>
      <c r="X438" t="inlineStr">
        <is>
          <t>1994-03-22</t>
        </is>
      </c>
      <c r="Y438" t="inlineStr">
        <is>
          <t>1990-09-28</t>
        </is>
      </c>
      <c r="Z438" t="inlineStr">
        <is>
          <t>1990-09-28</t>
        </is>
      </c>
      <c r="AA438" t="n">
        <v>125</v>
      </c>
      <c r="AB438" t="n">
        <v>65</v>
      </c>
      <c r="AC438" t="n">
        <v>67</v>
      </c>
      <c r="AD438" t="n">
        <v>1</v>
      </c>
      <c r="AE438" t="n">
        <v>1</v>
      </c>
      <c r="AF438" t="n">
        <v>3</v>
      </c>
      <c r="AG438" t="n">
        <v>3</v>
      </c>
      <c r="AH438" t="n">
        <v>1</v>
      </c>
      <c r="AI438" t="n">
        <v>1</v>
      </c>
      <c r="AJ438" t="n">
        <v>1</v>
      </c>
      <c r="AK438" t="n">
        <v>1</v>
      </c>
      <c r="AL438" t="n">
        <v>2</v>
      </c>
      <c r="AM438" t="n">
        <v>2</v>
      </c>
      <c r="AN438" t="n">
        <v>0</v>
      </c>
      <c r="AO438" t="n">
        <v>0</v>
      </c>
      <c r="AP438" t="n">
        <v>0</v>
      </c>
      <c r="AQ438" t="n">
        <v>0</v>
      </c>
      <c r="AR438" t="inlineStr">
        <is>
          <t>No</t>
        </is>
      </c>
      <c r="AS438" t="inlineStr">
        <is>
          <t>Yes</t>
        </is>
      </c>
      <c r="AT438">
        <f>HYPERLINK("http://catalog.hathitrust.org/Record/000811275","HathiTrust Record")</f>
        <v/>
      </c>
      <c r="AU438">
        <f>HYPERLINK("https://creighton-primo.hosted.exlibrisgroup.com/primo-explore/search?tab=default_tab&amp;search_scope=EVERYTHING&amp;vid=01CRU&amp;lang=en_US&amp;offset=0&amp;query=any,contains,991000843879702656","Catalog Record")</f>
        <v/>
      </c>
      <c r="AV438">
        <f>HYPERLINK("http://www.worldcat.org/oclc/13546873","WorldCat Record")</f>
        <v/>
      </c>
      <c r="AW438" t="inlineStr">
        <is>
          <t>7954366:eng</t>
        </is>
      </c>
      <c r="AX438" t="inlineStr">
        <is>
          <t>13546873</t>
        </is>
      </c>
      <c r="AY438" t="inlineStr">
        <is>
          <t>991000843879702656</t>
        </is>
      </c>
      <c r="AZ438" t="inlineStr">
        <is>
          <t>991000843879702656</t>
        </is>
      </c>
      <c r="BA438" t="inlineStr">
        <is>
          <t>2270663700002656</t>
        </is>
      </c>
      <c r="BB438" t="inlineStr">
        <is>
          <t>BOOK</t>
        </is>
      </c>
      <c r="BE438" t="inlineStr">
        <is>
          <t>32285000323575</t>
        </is>
      </c>
      <c r="BF438" t="inlineStr">
        <is>
          <t>893237659</t>
        </is>
      </c>
    </row>
    <row r="439">
      <c r="A439" t="inlineStr">
        <is>
          <t>No</t>
        </is>
      </c>
      <c r="B439" t="inlineStr">
        <is>
          <t>CURAL</t>
        </is>
      </c>
      <c r="C439" t="inlineStr">
        <is>
          <t>SHELVES</t>
        </is>
      </c>
      <c r="D439" t="inlineStr">
        <is>
          <t>BL60 .W42</t>
        </is>
      </c>
      <c r="E439" t="inlineStr">
        <is>
          <t>0                      BL 0060000W  42</t>
        </is>
      </c>
      <c r="F439" t="inlineStr">
        <is>
          <t>The sociology of religion. Translated by Ephraim Fischoff. Introd. by Talcott Parsons.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Weber, Max, 1864-1920.</t>
        </is>
      </c>
      <c r="N439" t="inlineStr">
        <is>
          <t>Boston, Beacon Press [1963] 1964 printing.</t>
        </is>
      </c>
      <c r="O439" t="inlineStr">
        <is>
          <t>1963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BL </t>
        </is>
      </c>
      <c r="U439" t="n">
        <v>7</v>
      </c>
      <c r="V439" t="n">
        <v>7</v>
      </c>
      <c r="W439" t="inlineStr">
        <is>
          <t>2001-11-07</t>
        </is>
      </c>
      <c r="X439" t="inlineStr">
        <is>
          <t>2001-11-07</t>
        </is>
      </c>
      <c r="Y439" t="inlineStr">
        <is>
          <t>1990-09-28</t>
        </is>
      </c>
      <c r="Z439" t="inlineStr">
        <is>
          <t>1990-09-28</t>
        </is>
      </c>
      <c r="AA439" t="n">
        <v>1385</v>
      </c>
      <c r="AB439" t="n">
        <v>1240</v>
      </c>
      <c r="AC439" t="n">
        <v>1562</v>
      </c>
      <c r="AD439" t="n">
        <v>9</v>
      </c>
      <c r="AE439" t="n">
        <v>11</v>
      </c>
      <c r="AF439" t="n">
        <v>48</v>
      </c>
      <c r="AG439" t="n">
        <v>58</v>
      </c>
      <c r="AH439" t="n">
        <v>20</v>
      </c>
      <c r="AI439" t="n">
        <v>26</v>
      </c>
      <c r="AJ439" t="n">
        <v>7</v>
      </c>
      <c r="AK439" t="n">
        <v>10</v>
      </c>
      <c r="AL439" t="n">
        <v>23</v>
      </c>
      <c r="AM439" t="n">
        <v>24</v>
      </c>
      <c r="AN439" t="n">
        <v>8</v>
      </c>
      <c r="AO439" t="n">
        <v>9</v>
      </c>
      <c r="AP439" t="n">
        <v>0</v>
      </c>
      <c r="AQ439" t="n">
        <v>1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HYPERLINK("http://catalog.hathitrust.org/Record/001391548","HathiTrust Record")</f>
        <v/>
      </c>
      <c r="AU439">
        <f>HYPERLINK("https://creighton-primo.hosted.exlibrisgroup.com/primo-explore/search?tab=default_tab&amp;search_scope=EVERYTHING&amp;vid=01CRU&amp;lang=en_US&amp;offset=0&amp;query=any,contains,991005355009702656","Catalog Record")</f>
        <v/>
      </c>
      <c r="AV439">
        <f>HYPERLINK("http://www.worldcat.org/oclc/378072","WorldCat Record")</f>
        <v/>
      </c>
      <c r="AW439" t="inlineStr">
        <is>
          <t>2863423170:eng</t>
        </is>
      </c>
      <c r="AX439" t="inlineStr">
        <is>
          <t>378072</t>
        </is>
      </c>
      <c r="AY439" t="inlineStr">
        <is>
          <t>991005355009702656</t>
        </is>
      </c>
      <c r="AZ439" t="inlineStr">
        <is>
          <t>991005355009702656</t>
        </is>
      </c>
      <c r="BA439" t="inlineStr">
        <is>
          <t>2264382650002656</t>
        </is>
      </c>
      <c r="BB439" t="inlineStr">
        <is>
          <t>BOOK</t>
        </is>
      </c>
      <c r="BE439" t="inlineStr">
        <is>
          <t>32285000323583</t>
        </is>
      </c>
      <c r="BF439" t="inlineStr">
        <is>
          <t>893443815</t>
        </is>
      </c>
    </row>
    <row r="440">
      <c r="A440" t="inlineStr">
        <is>
          <t>No</t>
        </is>
      </c>
      <c r="B440" t="inlineStr">
        <is>
          <t>CURAL</t>
        </is>
      </c>
      <c r="C440" t="inlineStr">
        <is>
          <t>SHELVES</t>
        </is>
      </c>
      <c r="D440" t="inlineStr">
        <is>
          <t>BL60 .W53 1984</t>
        </is>
      </c>
      <c r="E440" t="inlineStr">
        <is>
          <t>0                      BL 0060000W  53          1984</t>
        </is>
      </c>
      <c r="F440" t="inlineStr">
        <is>
          <t>A sociable God : toward a new understanding of religion / Ken Wilber.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Wilber, Ken.</t>
        </is>
      </c>
      <c r="N440" t="inlineStr">
        <is>
          <t>Boulder : New Science Library ; New York, N.Y. : Distributed by Random House, 1984, c1983.</t>
        </is>
      </c>
      <c r="O440" t="inlineStr">
        <is>
          <t>1984</t>
        </is>
      </c>
      <c r="P440" t="inlineStr">
        <is>
          <t>1st Shambhala ed.</t>
        </is>
      </c>
      <c r="Q440" t="inlineStr">
        <is>
          <t>eng</t>
        </is>
      </c>
      <c r="R440" t="inlineStr">
        <is>
          <t>cou</t>
        </is>
      </c>
      <c r="T440" t="inlineStr">
        <is>
          <t xml:space="preserve">BL </t>
        </is>
      </c>
      <c r="U440" t="n">
        <v>3</v>
      </c>
      <c r="V440" t="n">
        <v>3</v>
      </c>
      <c r="W440" t="inlineStr">
        <is>
          <t>1997-12-17</t>
        </is>
      </c>
      <c r="X440" t="inlineStr">
        <is>
          <t>1997-12-17</t>
        </is>
      </c>
      <c r="Y440" t="inlineStr">
        <is>
          <t>1990-09-28</t>
        </is>
      </c>
      <c r="Z440" t="inlineStr">
        <is>
          <t>1990-09-28</t>
        </is>
      </c>
      <c r="AA440" t="n">
        <v>140</v>
      </c>
      <c r="AB440" t="n">
        <v>119</v>
      </c>
      <c r="AC440" t="n">
        <v>191</v>
      </c>
      <c r="AD440" t="n">
        <v>2</v>
      </c>
      <c r="AE440" t="n">
        <v>3</v>
      </c>
      <c r="AF440" t="n">
        <v>7</v>
      </c>
      <c r="AG440" t="n">
        <v>10</v>
      </c>
      <c r="AH440" t="n">
        <v>1</v>
      </c>
      <c r="AI440" t="n">
        <v>1</v>
      </c>
      <c r="AJ440" t="n">
        <v>1</v>
      </c>
      <c r="AK440" t="n">
        <v>1</v>
      </c>
      <c r="AL440" t="n">
        <v>6</v>
      </c>
      <c r="AM440" t="n">
        <v>8</v>
      </c>
      <c r="AN440" t="n">
        <v>1</v>
      </c>
      <c r="AO440" t="n">
        <v>2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HYPERLINK("http://catalog.hathitrust.org/Record/000337321","HathiTrust Record")</f>
        <v/>
      </c>
      <c r="AU440">
        <f>HYPERLINK("https://creighton-primo.hosted.exlibrisgroup.com/primo-explore/search?tab=default_tab&amp;search_scope=EVERYTHING&amp;vid=01CRU&amp;lang=en_US&amp;offset=0&amp;query=any,contains,991000418509702656","Catalog Record")</f>
        <v/>
      </c>
      <c r="AV440">
        <f>HYPERLINK("http://www.worldcat.org/oclc/10726763","WorldCat Record")</f>
        <v/>
      </c>
      <c r="AW440" t="inlineStr">
        <is>
          <t>406775:eng</t>
        </is>
      </c>
      <c r="AX440" t="inlineStr">
        <is>
          <t>10726763</t>
        </is>
      </c>
      <c r="AY440" t="inlineStr">
        <is>
          <t>991000418509702656</t>
        </is>
      </c>
      <c r="AZ440" t="inlineStr">
        <is>
          <t>991000418509702656</t>
        </is>
      </c>
      <c r="BA440" t="inlineStr">
        <is>
          <t>2264257920002656</t>
        </is>
      </c>
      <c r="BB440" t="inlineStr">
        <is>
          <t>BOOK</t>
        </is>
      </c>
      <c r="BD440" t="inlineStr">
        <is>
          <t>9780394726922</t>
        </is>
      </c>
      <c r="BE440" t="inlineStr">
        <is>
          <t>32285000323591</t>
        </is>
      </c>
      <c r="BF440" t="inlineStr">
        <is>
          <t>893601731</t>
        </is>
      </c>
    </row>
    <row r="441">
      <c r="A441" t="inlineStr">
        <is>
          <t>No</t>
        </is>
      </c>
      <c r="B441" t="inlineStr">
        <is>
          <t>CURAL</t>
        </is>
      </c>
      <c r="C441" t="inlineStr">
        <is>
          <t>SHELVES</t>
        </is>
      </c>
      <c r="D441" t="inlineStr">
        <is>
          <t>BL60 .W54 1973b</t>
        </is>
      </c>
      <c r="E441" t="inlineStr">
        <is>
          <t>0                      BL 0060000W  54          1973b</t>
        </is>
      </c>
      <c r="F441" t="inlineStr">
        <is>
          <t>Magic and the millennium; a sociological study of religious movements of protest among tribal and third-world peoples [by] Bryan R. Wilson.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M441" t="inlineStr">
        <is>
          <t>Wilson, Bryan R.</t>
        </is>
      </c>
      <c r="N441" t="inlineStr">
        <is>
          <t>New York, Harper &amp; Row [1973]</t>
        </is>
      </c>
      <c r="O441" t="inlineStr">
        <is>
          <t>1973</t>
        </is>
      </c>
      <c r="P441" t="inlineStr">
        <is>
          <t>[1st U.S. ed.]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BL </t>
        </is>
      </c>
      <c r="U441" t="n">
        <v>5</v>
      </c>
      <c r="V441" t="n">
        <v>5</v>
      </c>
      <c r="W441" t="inlineStr">
        <is>
          <t>2000-01-06</t>
        </is>
      </c>
      <c r="X441" t="inlineStr">
        <is>
          <t>2000-01-06</t>
        </is>
      </c>
      <c r="Y441" t="inlineStr">
        <is>
          <t>1990-09-28</t>
        </is>
      </c>
      <c r="Z441" t="inlineStr">
        <is>
          <t>1990-09-28</t>
        </is>
      </c>
      <c r="AA441" t="n">
        <v>474</v>
      </c>
      <c r="AB441" t="n">
        <v>428</v>
      </c>
      <c r="AC441" t="n">
        <v>521</v>
      </c>
      <c r="AD441" t="n">
        <v>3</v>
      </c>
      <c r="AE441" t="n">
        <v>4</v>
      </c>
      <c r="AF441" t="n">
        <v>18</v>
      </c>
      <c r="AG441" t="n">
        <v>25</v>
      </c>
      <c r="AH441" t="n">
        <v>7</v>
      </c>
      <c r="AI441" t="n">
        <v>8</v>
      </c>
      <c r="AJ441" t="n">
        <v>3</v>
      </c>
      <c r="AK441" t="n">
        <v>5</v>
      </c>
      <c r="AL441" t="n">
        <v>11</v>
      </c>
      <c r="AM441" t="n">
        <v>15</v>
      </c>
      <c r="AN441" t="n">
        <v>2</v>
      </c>
      <c r="AO441" t="n">
        <v>3</v>
      </c>
      <c r="AP441" t="n">
        <v>0</v>
      </c>
      <c r="AQ441" t="n">
        <v>0</v>
      </c>
      <c r="AR441" t="inlineStr">
        <is>
          <t>No</t>
        </is>
      </c>
      <c r="AS441" t="inlineStr">
        <is>
          <t>Yes</t>
        </is>
      </c>
      <c r="AT441">
        <f>HYPERLINK("http://catalog.hathitrust.org/Record/001391550","HathiTrust Record")</f>
        <v/>
      </c>
      <c r="AU441">
        <f>HYPERLINK("https://creighton-primo.hosted.exlibrisgroup.com/primo-explore/search?tab=default_tab&amp;search_scope=EVERYTHING&amp;vid=01CRU&amp;lang=en_US&amp;offset=0&amp;query=any,contains,991005356829702656","Catalog Record")</f>
        <v/>
      </c>
      <c r="AV441">
        <f>HYPERLINK("http://www.worldcat.org/oclc/792970","WorldCat Record")</f>
        <v/>
      </c>
      <c r="AW441" t="inlineStr">
        <is>
          <t>889159175:eng</t>
        </is>
      </c>
      <c r="AX441" t="inlineStr">
        <is>
          <t>792970</t>
        </is>
      </c>
      <c r="AY441" t="inlineStr">
        <is>
          <t>991005356829702656</t>
        </is>
      </c>
      <c r="AZ441" t="inlineStr">
        <is>
          <t>991005356829702656</t>
        </is>
      </c>
      <c r="BA441" t="inlineStr">
        <is>
          <t>2260724510002656</t>
        </is>
      </c>
      <c r="BB441" t="inlineStr">
        <is>
          <t>BOOK</t>
        </is>
      </c>
      <c r="BD441" t="inlineStr">
        <is>
          <t>9780060146719</t>
        </is>
      </c>
      <c r="BE441" t="inlineStr">
        <is>
          <t>32285000323609</t>
        </is>
      </c>
      <c r="BF441" t="inlineStr">
        <is>
          <t>893536586</t>
        </is>
      </c>
    </row>
    <row r="442">
      <c r="A442" t="inlineStr">
        <is>
          <t>No</t>
        </is>
      </c>
      <c r="B442" t="inlineStr">
        <is>
          <t>CURAL</t>
        </is>
      </c>
      <c r="C442" t="inlineStr">
        <is>
          <t>SHELVES</t>
        </is>
      </c>
      <c r="D442" t="inlineStr">
        <is>
          <t>BL60 .W55</t>
        </is>
      </c>
      <c r="E442" t="inlineStr">
        <is>
          <t>0                      BL 0060000W  55</t>
        </is>
      </c>
      <c r="F442" t="inlineStr">
        <is>
          <t>Religion in American society : the effective presence / John Wilson.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M442" t="inlineStr">
        <is>
          <t>Wilson, John, 1942-</t>
        </is>
      </c>
      <c r="N442" t="inlineStr">
        <is>
          <t>Englewood Cliffs, N.J. : Prentice-Hall, c1978.</t>
        </is>
      </c>
      <c r="O442" t="inlineStr">
        <is>
          <t>1978</t>
        </is>
      </c>
      <c r="Q442" t="inlineStr">
        <is>
          <t>eng</t>
        </is>
      </c>
      <c r="R442" t="inlineStr">
        <is>
          <t>nju</t>
        </is>
      </c>
      <c r="S442" t="inlineStr">
        <is>
          <t>Prentice-Hall series in sociology</t>
        </is>
      </c>
      <c r="T442" t="inlineStr">
        <is>
          <t xml:space="preserve">BL </t>
        </is>
      </c>
      <c r="U442" t="n">
        <v>3</v>
      </c>
      <c r="V442" t="n">
        <v>3</v>
      </c>
      <c r="W442" t="inlineStr">
        <is>
          <t>1996-04-28</t>
        </is>
      </c>
      <c r="X442" t="inlineStr">
        <is>
          <t>1996-04-28</t>
        </is>
      </c>
      <c r="Y442" t="inlineStr">
        <is>
          <t>1990-09-28</t>
        </is>
      </c>
      <c r="Z442" t="inlineStr">
        <is>
          <t>1990-09-28</t>
        </is>
      </c>
      <c r="AA442" t="n">
        <v>623</v>
      </c>
      <c r="AB442" t="n">
        <v>546</v>
      </c>
      <c r="AC442" t="n">
        <v>552</v>
      </c>
      <c r="AD442" t="n">
        <v>5</v>
      </c>
      <c r="AE442" t="n">
        <v>5</v>
      </c>
      <c r="AF442" t="n">
        <v>23</v>
      </c>
      <c r="AG442" t="n">
        <v>23</v>
      </c>
      <c r="AH442" t="n">
        <v>10</v>
      </c>
      <c r="AI442" t="n">
        <v>10</v>
      </c>
      <c r="AJ442" t="n">
        <v>4</v>
      </c>
      <c r="AK442" t="n">
        <v>4</v>
      </c>
      <c r="AL442" t="n">
        <v>11</v>
      </c>
      <c r="AM442" t="n">
        <v>11</v>
      </c>
      <c r="AN442" t="n">
        <v>4</v>
      </c>
      <c r="AO442" t="n">
        <v>4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HYPERLINK("http://catalog.hathitrust.org/Record/000751913","HathiTrust Record")</f>
        <v/>
      </c>
      <c r="AU442">
        <f>HYPERLINK("https://creighton-primo.hosted.exlibrisgroup.com/primo-explore/search?tab=default_tab&amp;search_scope=EVERYTHING&amp;vid=01CRU&amp;lang=en_US&amp;offset=0&amp;query=any,contains,991004429149702656","Catalog Record")</f>
        <v/>
      </c>
      <c r="AV442">
        <f>HYPERLINK("http://www.worldcat.org/oclc/3414690","WorldCat Record")</f>
        <v/>
      </c>
      <c r="AW442" t="inlineStr">
        <is>
          <t>148377704:eng</t>
        </is>
      </c>
      <c r="AX442" t="inlineStr">
        <is>
          <t>3414690</t>
        </is>
      </c>
      <c r="AY442" t="inlineStr">
        <is>
          <t>991004429149702656</t>
        </is>
      </c>
      <c r="AZ442" t="inlineStr">
        <is>
          <t>991004429149702656</t>
        </is>
      </c>
      <c r="BA442" t="inlineStr">
        <is>
          <t>2260058030002656</t>
        </is>
      </c>
      <c r="BB442" t="inlineStr">
        <is>
          <t>BOOK</t>
        </is>
      </c>
      <c r="BD442" t="inlineStr">
        <is>
          <t>9780137732593</t>
        </is>
      </c>
      <c r="BE442" t="inlineStr">
        <is>
          <t>32285000323625</t>
        </is>
      </c>
      <c r="BF442" t="inlineStr">
        <is>
          <t>893882468</t>
        </is>
      </c>
    </row>
    <row r="443">
      <c r="A443" t="inlineStr">
        <is>
          <t>No</t>
        </is>
      </c>
      <c r="B443" t="inlineStr">
        <is>
          <t>CURAL</t>
        </is>
      </c>
      <c r="C443" t="inlineStr">
        <is>
          <t>SHELVES</t>
        </is>
      </c>
      <c r="D443" t="inlineStr">
        <is>
          <t>BL60 .Y52</t>
        </is>
      </c>
      <c r="E443" t="inlineStr">
        <is>
          <t>0                      BL 0060000Y  52</t>
        </is>
      </c>
      <c r="F443" t="inlineStr">
        <is>
          <t>Religion, society, and the individual; an introduction to the sociology of religion.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M443" t="inlineStr">
        <is>
          <t>Yinger, J. Milton (John Milton), 1916-2011.</t>
        </is>
      </c>
      <c r="N443" t="inlineStr">
        <is>
          <t>New York, Macmillan [1957]</t>
        </is>
      </c>
      <c r="O443" t="inlineStr">
        <is>
          <t>1957</t>
        </is>
      </c>
      <c r="Q443" t="inlineStr">
        <is>
          <t>eng</t>
        </is>
      </c>
      <c r="R443" t="inlineStr">
        <is>
          <t>nyu</t>
        </is>
      </c>
      <c r="T443" t="inlineStr">
        <is>
          <t xml:space="preserve">BL </t>
        </is>
      </c>
      <c r="U443" t="n">
        <v>3</v>
      </c>
      <c r="V443" t="n">
        <v>3</v>
      </c>
      <c r="W443" t="inlineStr">
        <is>
          <t>1996-04-14</t>
        </is>
      </c>
      <c r="X443" t="inlineStr">
        <is>
          <t>1996-04-14</t>
        </is>
      </c>
      <c r="Y443" t="inlineStr">
        <is>
          <t>1990-09-28</t>
        </is>
      </c>
      <c r="Z443" t="inlineStr">
        <is>
          <t>1990-09-28</t>
        </is>
      </c>
      <c r="AA443" t="n">
        <v>911</v>
      </c>
      <c r="AB443" t="n">
        <v>757</v>
      </c>
      <c r="AC443" t="n">
        <v>783</v>
      </c>
      <c r="AD443" t="n">
        <v>7</v>
      </c>
      <c r="AE443" t="n">
        <v>7</v>
      </c>
      <c r="AF443" t="n">
        <v>36</v>
      </c>
      <c r="AG443" t="n">
        <v>37</v>
      </c>
      <c r="AH443" t="n">
        <v>17</v>
      </c>
      <c r="AI443" t="n">
        <v>18</v>
      </c>
      <c r="AJ443" t="n">
        <v>8</v>
      </c>
      <c r="AK443" t="n">
        <v>8</v>
      </c>
      <c r="AL443" t="n">
        <v>18</v>
      </c>
      <c r="AM443" t="n">
        <v>18</v>
      </c>
      <c r="AN443" t="n">
        <v>5</v>
      </c>
      <c r="AO443" t="n">
        <v>5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HYPERLINK("http://catalog.hathitrust.org/Record/001391552","HathiTrust Record")</f>
        <v/>
      </c>
      <c r="AU443">
        <f>HYPERLINK("https://creighton-primo.hosted.exlibrisgroup.com/primo-explore/search?tab=default_tab&amp;search_scope=EVERYTHING&amp;vid=01CRU&amp;lang=en_US&amp;offset=0&amp;query=any,contains,991002045549702656","Catalog Record")</f>
        <v/>
      </c>
      <c r="AV443">
        <f>HYPERLINK("http://www.worldcat.org/oclc/261290","WorldCat Record")</f>
        <v/>
      </c>
      <c r="AW443" t="inlineStr">
        <is>
          <t>1099292577:eng</t>
        </is>
      </c>
      <c r="AX443" t="inlineStr">
        <is>
          <t>261290</t>
        </is>
      </c>
      <c r="AY443" t="inlineStr">
        <is>
          <t>991002045549702656</t>
        </is>
      </c>
      <c r="AZ443" t="inlineStr">
        <is>
          <t>991002045549702656</t>
        </is>
      </c>
      <c r="BA443" t="inlineStr">
        <is>
          <t>2265563550002656</t>
        </is>
      </c>
      <c r="BB443" t="inlineStr">
        <is>
          <t>BOOK</t>
        </is>
      </c>
      <c r="BE443" t="inlineStr">
        <is>
          <t>32285000323641</t>
        </is>
      </c>
      <c r="BF443" t="inlineStr">
        <is>
          <t>893779357</t>
        </is>
      </c>
    </row>
    <row r="444">
      <c r="A444" t="inlineStr">
        <is>
          <t>No</t>
        </is>
      </c>
      <c r="B444" t="inlineStr">
        <is>
          <t>CURAL</t>
        </is>
      </c>
      <c r="C444" t="inlineStr">
        <is>
          <t>SHELVES</t>
        </is>
      </c>
      <c r="D444" t="inlineStr">
        <is>
          <t>BL600 .B83</t>
        </is>
      </c>
      <c r="E444" t="inlineStr">
        <is>
          <t>0                      BL 0600000B  83</t>
        </is>
      </c>
      <c r="F444" t="inlineStr">
        <is>
          <t>The tree at the navel of the earth, by E. A. S. Butterworth. With 31 pl.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M444" t="inlineStr">
        <is>
          <t>Butterworth, E. A. S. (Edric Allan Schofield)</t>
        </is>
      </c>
      <c r="N444" t="inlineStr">
        <is>
          <t>Berlin, de Gruyter, 1970.</t>
        </is>
      </c>
      <c r="O444" t="inlineStr">
        <is>
          <t>1970</t>
        </is>
      </c>
      <c r="Q444" t="inlineStr">
        <is>
          <t>eng</t>
        </is>
      </c>
      <c r="R444" t="inlineStr">
        <is>
          <t xml:space="preserve">gw </t>
        </is>
      </c>
      <c r="T444" t="inlineStr">
        <is>
          <t xml:space="preserve">BL </t>
        </is>
      </c>
      <c r="U444" t="n">
        <v>3</v>
      </c>
      <c r="V444" t="n">
        <v>3</v>
      </c>
      <c r="W444" t="inlineStr">
        <is>
          <t>2007-12-04</t>
        </is>
      </c>
      <c r="X444" t="inlineStr">
        <is>
          <t>2007-12-04</t>
        </is>
      </c>
      <c r="Y444" t="inlineStr">
        <is>
          <t>1990-10-11</t>
        </is>
      </c>
      <c r="Z444" t="inlineStr">
        <is>
          <t>1990-10-11</t>
        </is>
      </c>
      <c r="AA444" t="n">
        <v>257</v>
      </c>
      <c r="AB444" t="n">
        <v>180</v>
      </c>
      <c r="AC444" t="n">
        <v>190</v>
      </c>
      <c r="AD444" t="n">
        <v>2</v>
      </c>
      <c r="AE444" t="n">
        <v>2</v>
      </c>
      <c r="AF444" t="n">
        <v>8</v>
      </c>
      <c r="AG444" t="n">
        <v>8</v>
      </c>
      <c r="AH444" t="n">
        <v>1</v>
      </c>
      <c r="AI444" t="n">
        <v>1</v>
      </c>
      <c r="AJ444" t="n">
        <v>4</v>
      </c>
      <c r="AK444" t="n">
        <v>4</v>
      </c>
      <c r="AL444" t="n">
        <v>6</v>
      </c>
      <c r="AM444" t="n">
        <v>6</v>
      </c>
      <c r="AN444" t="n">
        <v>1</v>
      </c>
      <c r="AO444" t="n">
        <v>1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HYPERLINK("http://catalog.hathitrust.org/Record/001922281","HathiTrust Record")</f>
        <v/>
      </c>
      <c r="AU444">
        <f>HYPERLINK("https://creighton-primo.hosted.exlibrisgroup.com/primo-explore/search?tab=default_tab&amp;search_scope=EVERYTHING&amp;vid=01CRU&amp;lang=en_US&amp;offset=0&amp;query=any,contains,991000800879702656","Catalog Record")</f>
        <v/>
      </c>
      <c r="AV444">
        <f>HYPERLINK("http://www.worldcat.org/oclc/138862","WorldCat Record")</f>
        <v/>
      </c>
      <c r="AW444" t="inlineStr">
        <is>
          <t>1295858:eng</t>
        </is>
      </c>
      <c r="AX444" t="inlineStr">
        <is>
          <t>138862</t>
        </is>
      </c>
      <c r="AY444" t="inlineStr">
        <is>
          <t>991000800879702656</t>
        </is>
      </c>
      <c r="AZ444" t="inlineStr">
        <is>
          <t>991000800879702656</t>
        </is>
      </c>
      <c r="BA444" t="inlineStr">
        <is>
          <t>2258240020002656</t>
        </is>
      </c>
      <c r="BB444" t="inlineStr">
        <is>
          <t>BOOK</t>
        </is>
      </c>
      <c r="BE444" t="inlineStr">
        <is>
          <t>32285000346055</t>
        </is>
      </c>
      <c r="BF444" t="inlineStr">
        <is>
          <t>893803080</t>
        </is>
      </c>
    </row>
    <row r="445">
      <c r="A445" t="inlineStr">
        <is>
          <t>No</t>
        </is>
      </c>
      <c r="B445" t="inlineStr">
        <is>
          <t>CURAL</t>
        </is>
      </c>
      <c r="C445" t="inlineStr">
        <is>
          <t>SHELVES</t>
        </is>
      </c>
      <c r="D445" t="inlineStr">
        <is>
          <t>BL600 .H8 1976</t>
        </is>
      </c>
      <c r="E445" t="inlineStr">
        <is>
          <t>0                      BL 0600000H  8           1976</t>
        </is>
      </c>
      <c r="F445" t="inlineStr">
        <is>
          <t>The way of the sacred : the rites and symbols, beliefs and tabus, that men have held in awe and wonder through the ages / Francis Huxley.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M445" t="inlineStr">
        <is>
          <t>Huxley, Francis.</t>
        </is>
      </c>
      <c r="N445" t="inlineStr">
        <is>
          <t>New York : Dell Pub. Co., 1976.</t>
        </is>
      </c>
      <c r="O445" t="inlineStr">
        <is>
          <t>1976</t>
        </is>
      </c>
      <c r="P445" t="inlineStr">
        <is>
          <t>A Laurel edition.</t>
        </is>
      </c>
      <c r="Q445" t="inlineStr">
        <is>
          <t>eng</t>
        </is>
      </c>
      <c r="R445" t="inlineStr">
        <is>
          <t>nyu</t>
        </is>
      </c>
      <c r="T445" t="inlineStr">
        <is>
          <t xml:space="preserve">BL </t>
        </is>
      </c>
      <c r="U445" t="n">
        <v>1</v>
      </c>
      <c r="V445" t="n">
        <v>1</v>
      </c>
      <c r="W445" t="inlineStr">
        <is>
          <t>1995-08-18</t>
        </is>
      </c>
      <c r="X445" t="inlineStr">
        <is>
          <t>1995-08-18</t>
        </is>
      </c>
      <c r="Y445" t="inlineStr">
        <is>
          <t>1995-10-03</t>
        </is>
      </c>
      <c r="Z445" t="inlineStr">
        <is>
          <t>1995-10-03</t>
        </is>
      </c>
      <c r="AA445" t="n">
        <v>35</v>
      </c>
      <c r="AB445" t="n">
        <v>34</v>
      </c>
      <c r="AC445" t="n">
        <v>35</v>
      </c>
      <c r="AD445" t="n">
        <v>1</v>
      </c>
      <c r="AE445" t="n">
        <v>1</v>
      </c>
      <c r="AF445" t="n">
        <v>3</v>
      </c>
      <c r="AG445" t="n">
        <v>3</v>
      </c>
      <c r="AH445" t="n">
        <v>1</v>
      </c>
      <c r="AI445" t="n">
        <v>1</v>
      </c>
      <c r="AJ445" t="n">
        <v>1</v>
      </c>
      <c r="AK445" t="n">
        <v>1</v>
      </c>
      <c r="AL445" t="n">
        <v>3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No</t>
        </is>
      </c>
      <c r="AU445">
        <f>HYPERLINK("https://creighton-primo.hosted.exlibrisgroup.com/primo-explore/search?tab=default_tab&amp;search_scope=EVERYTHING&amp;vid=01CRU&amp;lang=en_US&amp;offset=0&amp;query=any,contains,991004262139702656","Catalog Record")</f>
        <v/>
      </c>
      <c r="AV445">
        <f>HYPERLINK("http://www.worldcat.org/oclc/2849654","WorldCat Record")</f>
        <v/>
      </c>
      <c r="AW445" t="inlineStr">
        <is>
          <t>4160705303:eng</t>
        </is>
      </c>
      <c r="AX445" t="inlineStr">
        <is>
          <t>2849654</t>
        </is>
      </c>
      <c r="AY445" t="inlineStr">
        <is>
          <t>991004262139702656</t>
        </is>
      </c>
      <c r="AZ445" t="inlineStr">
        <is>
          <t>991004262139702656</t>
        </is>
      </c>
      <c r="BA445" t="inlineStr">
        <is>
          <t>2258439980002656</t>
        </is>
      </c>
      <c r="BB445" t="inlineStr">
        <is>
          <t>BOOK</t>
        </is>
      </c>
      <c r="BE445" t="inlineStr">
        <is>
          <t>32285002024668</t>
        </is>
      </c>
      <c r="BF445" t="inlineStr">
        <is>
          <t>893318995</t>
        </is>
      </c>
    </row>
    <row r="446">
      <c r="A446" t="inlineStr">
        <is>
          <t>No</t>
        </is>
      </c>
      <c r="B446" t="inlineStr">
        <is>
          <t>CURAL</t>
        </is>
      </c>
      <c r="C446" t="inlineStr">
        <is>
          <t>SHELVES</t>
        </is>
      </c>
      <c r="D446" t="inlineStr">
        <is>
          <t>BL600 .M85 1997</t>
        </is>
      </c>
      <c r="E446" t="inlineStr">
        <is>
          <t>0                      BL 0600000M  85          1997</t>
        </is>
      </c>
      <c r="F446" t="inlineStr">
        <is>
          <t>Ritual in early modern Europe / Edward Muir.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M446" t="inlineStr">
        <is>
          <t>Muir, Edward, 1946-</t>
        </is>
      </c>
      <c r="N446" t="inlineStr">
        <is>
          <t>Cambridge ; New York : Cambridge University Press, 1997.</t>
        </is>
      </c>
      <c r="O446" t="inlineStr">
        <is>
          <t>1997</t>
        </is>
      </c>
      <c r="Q446" t="inlineStr">
        <is>
          <t>eng</t>
        </is>
      </c>
      <c r="R446" t="inlineStr">
        <is>
          <t>enk</t>
        </is>
      </c>
      <c r="S446" t="inlineStr">
        <is>
          <t>New approaches to European history ; 11</t>
        </is>
      </c>
      <c r="T446" t="inlineStr">
        <is>
          <t xml:space="preserve">BL </t>
        </is>
      </c>
      <c r="U446" t="n">
        <v>0</v>
      </c>
      <c r="V446" t="n">
        <v>0</v>
      </c>
      <c r="W446" t="inlineStr">
        <is>
          <t>2009-03-17</t>
        </is>
      </c>
      <c r="X446" t="inlineStr">
        <is>
          <t>2009-03-17</t>
        </is>
      </c>
      <c r="Y446" t="inlineStr">
        <is>
          <t>1999-09-16</t>
        </is>
      </c>
      <c r="Z446" t="inlineStr">
        <is>
          <t>1999-09-16</t>
        </is>
      </c>
      <c r="AA446" t="n">
        <v>528</v>
      </c>
      <c r="AB446" t="n">
        <v>362</v>
      </c>
      <c r="AC446" t="n">
        <v>483</v>
      </c>
      <c r="AD446" t="n">
        <v>2</v>
      </c>
      <c r="AE446" t="n">
        <v>2</v>
      </c>
      <c r="AF446" t="n">
        <v>24</v>
      </c>
      <c r="AG446" t="n">
        <v>30</v>
      </c>
      <c r="AH446" t="n">
        <v>10</v>
      </c>
      <c r="AI446" t="n">
        <v>14</v>
      </c>
      <c r="AJ446" t="n">
        <v>6</v>
      </c>
      <c r="AK446" t="n">
        <v>7</v>
      </c>
      <c r="AL446" t="n">
        <v>14</v>
      </c>
      <c r="AM446" t="n">
        <v>16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HYPERLINK("https://creighton-primo.hosted.exlibrisgroup.com/primo-explore/search?tab=default_tab&amp;search_scope=EVERYTHING&amp;vid=01CRU&amp;lang=en_US&amp;offset=0&amp;query=any,contains,991002747939702656","Catalog Record")</f>
        <v/>
      </c>
      <c r="AV446">
        <f>HYPERLINK("http://www.worldcat.org/oclc/36059973","WorldCat Record")</f>
        <v/>
      </c>
      <c r="AW446" t="inlineStr">
        <is>
          <t>16746993:eng</t>
        </is>
      </c>
      <c r="AX446" t="inlineStr">
        <is>
          <t>36059973</t>
        </is>
      </c>
      <c r="AY446" t="inlineStr">
        <is>
          <t>991002747939702656</t>
        </is>
      </c>
      <c r="AZ446" t="inlineStr">
        <is>
          <t>991002747939702656</t>
        </is>
      </c>
      <c r="BA446" t="inlineStr">
        <is>
          <t>2257399320002656</t>
        </is>
      </c>
      <c r="BB446" t="inlineStr">
        <is>
          <t>BOOK</t>
        </is>
      </c>
      <c r="BD446" t="inlineStr">
        <is>
          <t>9780521401692</t>
        </is>
      </c>
      <c r="BE446" t="inlineStr">
        <is>
          <t>32285003589172</t>
        </is>
      </c>
      <c r="BF446" t="inlineStr">
        <is>
          <t>893427962</t>
        </is>
      </c>
    </row>
    <row r="447">
      <c r="A447" t="inlineStr">
        <is>
          <t>No</t>
        </is>
      </c>
      <c r="B447" t="inlineStr">
        <is>
          <t>CURAL</t>
        </is>
      </c>
      <c r="C447" t="inlineStr">
        <is>
          <t>SHELVES</t>
        </is>
      </c>
      <c r="D447" t="inlineStr">
        <is>
          <t>BL603 .F55</t>
        </is>
      </c>
      <c r="E447" t="inlineStr">
        <is>
          <t>0                      BL 0603000F  55</t>
        </is>
      </c>
      <c r="F447" t="inlineStr">
        <is>
          <t>The eclipse of symbolism.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M447" t="inlineStr">
        <is>
          <t>Fingesten, Peter.</t>
        </is>
      </c>
      <c r="N447" t="inlineStr">
        <is>
          <t>Columbia, S.C., University of South Carolina Press [1970]</t>
        </is>
      </c>
      <c r="O447" t="inlineStr">
        <is>
          <t>1970</t>
        </is>
      </c>
      <c r="P447" t="inlineStr">
        <is>
          <t>[1st ed.]</t>
        </is>
      </c>
      <c r="Q447" t="inlineStr">
        <is>
          <t>eng</t>
        </is>
      </c>
      <c r="R447" t="inlineStr">
        <is>
          <t>scu</t>
        </is>
      </c>
      <c r="T447" t="inlineStr">
        <is>
          <t xml:space="preserve">BL </t>
        </is>
      </c>
      <c r="U447" t="n">
        <v>8</v>
      </c>
      <c r="V447" t="n">
        <v>8</v>
      </c>
      <c r="W447" t="inlineStr">
        <is>
          <t>1998-04-05</t>
        </is>
      </c>
      <c r="X447" t="inlineStr">
        <is>
          <t>1998-04-05</t>
        </is>
      </c>
      <c r="Y447" t="inlineStr">
        <is>
          <t>1990-10-11</t>
        </is>
      </c>
      <c r="Z447" t="inlineStr">
        <is>
          <t>1990-10-11</t>
        </is>
      </c>
      <c r="AA447" t="n">
        <v>544</v>
      </c>
      <c r="AB447" t="n">
        <v>452</v>
      </c>
      <c r="AC447" t="n">
        <v>455</v>
      </c>
      <c r="AD447" t="n">
        <v>5</v>
      </c>
      <c r="AE447" t="n">
        <v>5</v>
      </c>
      <c r="AF447" t="n">
        <v>31</v>
      </c>
      <c r="AG447" t="n">
        <v>31</v>
      </c>
      <c r="AH447" t="n">
        <v>10</v>
      </c>
      <c r="AI447" t="n">
        <v>10</v>
      </c>
      <c r="AJ447" t="n">
        <v>8</v>
      </c>
      <c r="AK447" t="n">
        <v>8</v>
      </c>
      <c r="AL447" t="n">
        <v>18</v>
      </c>
      <c r="AM447" t="n">
        <v>18</v>
      </c>
      <c r="AN447" t="n">
        <v>4</v>
      </c>
      <c r="AO447" t="n">
        <v>4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HYPERLINK("http://catalog.hathitrust.org/Record/001922291","HathiTrust Record")</f>
        <v/>
      </c>
      <c r="AU447">
        <f>HYPERLINK("https://creighton-primo.hosted.exlibrisgroup.com/primo-explore/search?tab=default_tab&amp;search_scope=EVERYTHING&amp;vid=01CRU&amp;lang=en_US&amp;offset=0&amp;query=any,contains,991000563769702656","Catalog Record")</f>
        <v/>
      </c>
      <c r="AV447">
        <f>HYPERLINK("http://www.worldcat.org/oclc/93687","WorldCat Record")</f>
        <v/>
      </c>
      <c r="AW447" t="inlineStr">
        <is>
          <t>1310846:eng</t>
        </is>
      </c>
      <c r="AX447" t="inlineStr">
        <is>
          <t>93687</t>
        </is>
      </c>
      <c r="AY447" t="inlineStr">
        <is>
          <t>991000563769702656</t>
        </is>
      </c>
      <c r="AZ447" t="inlineStr">
        <is>
          <t>991000563769702656</t>
        </is>
      </c>
      <c r="BA447" t="inlineStr">
        <is>
          <t>2265709980002656</t>
        </is>
      </c>
      <c r="BB447" t="inlineStr">
        <is>
          <t>BOOK</t>
        </is>
      </c>
      <c r="BD447" t="inlineStr">
        <is>
          <t>9780872491724</t>
        </is>
      </c>
      <c r="BE447" t="inlineStr">
        <is>
          <t>32285000346204</t>
        </is>
      </c>
      <c r="BF447" t="inlineStr">
        <is>
          <t>893333584</t>
        </is>
      </c>
    </row>
    <row r="448">
      <c r="A448" t="inlineStr">
        <is>
          <t>No</t>
        </is>
      </c>
      <c r="B448" t="inlineStr">
        <is>
          <t>CURAL</t>
        </is>
      </c>
      <c r="C448" t="inlineStr">
        <is>
          <t>SHELVES</t>
        </is>
      </c>
      <c r="D448" t="inlineStr">
        <is>
          <t>BL603 .M3 1968</t>
        </is>
      </c>
      <c r="E448" t="inlineStr">
        <is>
          <t>0                      BL 0603000M  3           1968</t>
        </is>
      </c>
      <c r="F448" t="inlineStr">
        <is>
          <t>The migration of symbols and their relations to beliefs and customs. New York, Knopf, 1926.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0</t>
        </is>
      </c>
      <c r="M448" t="inlineStr">
        <is>
          <t>Mackenzie, Donald A. (Donald Alexander), 1873-1936.</t>
        </is>
      </c>
      <c r="N448" t="inlineStr">
        <is>
          <t>Detroit, Gale Research Co., 1968.</t>
        </is>
      </c>
      <c r="O448" t="inlineStr">
        <is>
          <t>1968</t>
        </is>
      </c>
      <c r="Q448" t="inlineStr">
        <is>
          <t>eng</t>
        </is>
      </c>
      <c r="R448" t="inlineStr">
        <is>
          <t>miu</t>
        </is>
      </c>
      <c r="T448" t="inlineStr">
        <is>
          <t xml:space="preserve">BL </t>
        </is>
      </c>
      <c r="U448" t="n">
        <v>5</v>
      </c>
      <c r="V448" t="n">
        <v>5</v>
      </c>
      <c r="W448" t="inlineStr">
        <is>
          <t>2003-10-24</t>
        </is>
      </c>
      <c r="X448" t="inlineStr">
        <is>
          <t>2003-10-24</t>
        </is>
      </c>
      <c r="Y448" t="inlineStr">
        <is>
          <t>1990-10-11</t>
        </is>
      </c>
      <c r="Z448" t="inlineStr">
        <is>
          <t>1990-10-11</t>
        </is>
      </c>
      <c r="AA448" t="n">
        <v>286</v>
      </c>
      <c r="AB448" t="n">
        <v>261</v>
      </c>
      <c r="AC448" t="n">
        <v>596</v>
      </c>
      <c r="AD448" t="n">
        <v>2</v>
      </c>
      <c r="AE448" t="n">
        <v>5</v>
      </c>
      <c r="AF448" t="n">
        <v>5</v>
      </c>
      <c r="AG448" t="n">
        <v>17</v>
      </c>
      <c r="AH448" t="n">
        <v>0</v>
      </c>
      <c r="AI448" t="n">
        <v>2</v>
      </c>
      <c r="AJ448" t="n">
        <v>0</v>
      </c>
      <c r="AK448" t="n">
        <v>2</v>
      </c>
      <c r="AL448" t="n">
        <v>4</v>
      </c>
      <c r="AM448" t="n">
        <v>10</v>
      </c>
      <c r="AN448" t="n">
        <v>1</v>
      </c>
      <c r="AO448" t="n">
        <v>4</v>
      </c>
      <c r="AP448" t="n">
        <v>0</v>
      </c>
      <c r="AQ448" t="n">
        <v>0</v>
      </c>
      <c r="AR448" t="inlineStr">
        <is>
          <t>No</t>
        </is>
      </c>
      <c r="AS448" t="inlineStr">
        <is>
          <t>Yes</t>
        </is>
      </c>
      <c r="AT448">
        <f>HYPERLINK("http://catalog.hathitrust.org/Record/001922293","HathiTrust Record")</f>
        <v/>
      </c>
      <c r="AU448">
        <f>HYPERLINK("https://creighton-primo.hosted.exlibrisgroup.com/primo-explore/search?tab=default_tab&amp;search_scope=EVERYTHING&amp;vid=01CRU&amp;lang=en_US&amp;offset=0&amp;query=any,contains,991002605839702656","Catalog Record")</f>
        <v/>
      </c>
      <c r="AV448">
        <f>HYPERLINK("http://www.worldcat.org/oclc/377381","WorldCat Record")</f>
        <v/>
      </c>
      <c r="AW448" t="inlineStr">
        <is>
          <t>45352:eng</t>
        </is>
      </c>
      <c r="AX448" t="inlineStr">
        <is>
          <t>377381</t>
        </is>
      </c>
      <c r="AY448" t="inlineStr">
        <is>
          <t>991002605839702656</t>
        </is>
      </c>
      <c r="AZ448" t="inlineStr">
        <is>
          <t>991002605839702656</t>
        </is>
      </c>
      <c r="BA448" t="inlineStr">
        <is>
          <t>2263030920002656</t>
        </is>
      </c>
      <c r="BB448" t="inlineStr">
        <is>
          <t>BOOK</t>
        </is>
      </c>
      <c r="BE448" t="inlineStr">
        <is>
          <t>32285000346212</t>
        </is>
      </c>
      <c r="BF448" t="inlineStr">
        <is>
          <t>893773798</t>
        </is>
      </c>
    </row>
    <row r="449">
      <c r="A449" t="inlineStr">
        <is>
          <t>No</t>
        </is>
      </c>
      <c r="B449" t="inlineStr">
        <is>
          <t>CURAL</t>
        </is>
      </c>
      <c r="C449" t="inlineStr">
        <is>
          <t>SHELVES</t>
        </is>
      </c>
      <c r="D449" t="inlineStr">
        <is>
          <t>BL604 .B64 F73 1989 PT.2</t>
        </is>
      </c>
      <c r="E449" t="inlineStr">
        <is>
          <t>0                      BL 0604000B  64                 F  73          1989                  PT.2</t>
        </is>
      </c>
      <c r="F449" t="inlineStr">
        <is>
          <t>Fragments for a history of the human body / edited by Michel Feher with Ramona Naddaff and Nadia Tazi.</t>
        </is>
      </c>
      <c r="G449" t="inlineStr">
        <is>
          <t>PT.2*</t>
        </is>
      </c>
      <c r="H449" t="inlineStr">
        <is>
          <t>Yes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York, NY : Zone ; Cambridge, Mass. : Distributed by the MIT Press, c1989.</t>
        </is>
      </c>
      <c r="O449" t="inlineStr">
        <is>
          <t>1989</t>
        </is>
      </c>
      <c r="Q449" t="inlineStr">
        <is>
          <t>eng</t>
        </is>
      </c>
      <c r="R449" t="inlineStr">
        <is>
          <t>nyu</t>
        </is>
      </c>
      <c r="S449" t="inlineStr">
        <is>
          <t>Zone ; 3-5</t>
        </is>
      </c>
      <c r="T449" t="inlineStr">
        <is>
          <t xml:space="preserve">BL </t>
        </is>
      </c>
      <c r="U449" t="n">
        <v>6</v>
      </c>
      <c r="V449" t="n">
        <v>23</v>
      </c>
      <c r="W449" t="inlineStr">
        <is>
          <t>2005-03-17</t>
        </is>
      </c>
      <c r="X449" t="inlineStr">
        <is>
          <t>2009-06-01</t>
        </is>
      </c>
      <c r="Y449" t="inlineStr">
        <is>
          <t>1992-06-17</t>
        </is>
      </c>
      <c r="Z449" t="inlineStr">
        <is>
          <t>1992-06-17</t>
        </is>
      </c>
      <c r="AA449" t="n">
        <v>597</v>
      </c>
      <c r="AB449" t="n">
        <v>443</v>
      </c>
      <c r="AC449" t="n">
        <v>448</v>
      </c>
      <c r="AD449" t="n">
        <v>3</v>
      </c>
      <c r="AE449" t="n">
        <v>3</v>
      </c>
      <c r="AF449" t="n">
        <v>21</v>
      </c>
      <c r="AG449" t="n">
        <v>21</v>
      </c>
      <c r="AH449" t="n">
        <v>4</v>
      </c>
      <c r="AI449" t="n">
        <v>4</v>
      </c>
      <c r="AJ449" t="n">
        <v>7</v>
      </c>
      <c r="AK449" t="n">
        <v>7</v>
      </c>
      <c r="AL449" t="n">
        <v>13</v>
      </c>
      <c r="AM449" t="n">
        <v>13</v>
      </c>
      <c r="AN449" t="n">
        <v>2</v>
      </c>
      <c r="AO449" t="n">
        <v>2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HYPERLINK("http://catalog.hathitrust.org/Record/002442977","HathiTrust Record")</f>
        <v/>
      </c>
      <c r="AU449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49">
        <f>HYPERLINK("http://www.worldcat.org/oclc/19488060","WorldCat Record")</f>
        <v/>
      </c>
      <c r="AW449" t="inlineStr">
        <is>
          <t>8907493131:eng</t>
        </is>
      </c>
      <c r="AX449" t="inlineStr">
        <is>
          <t>19488060</t>
        </is>
      </c>
      <c r="AY449" t="inlineStr">
        <is>
          <t>991005410709702656</t>
        </is>
      </c>
      <c r="AZ449" t="inlineStr">
        <is>
          <t>991005410709702656</t>
        </is>
      </c>
      <c r="BA449" t="inlineStr">
        <is>
          <t>2258519880002656</t>
        </is>
      </c>
      <c r="BB449" t="inlineStr">
        <is>
          <t>BOOK</t>
        </is>
      </c>
      <c r="BD449" t="inlineStr">
        <is>
          <t>9780942299236</t>
        </is>
      </c>
      <c r="BE449" t="inlineStr">
        <is>
          <t>32285001132017</t>
        </is>
      </c>
      <c r="BF449" t="inlineStr">
        <is>
          <t>893714043</t>
        </is>
      </c>
    </row>
    <row r="450">
      <c r="A450" t="inlineStr">
        <is>
          <t>No</t>
        </is>
      </c>
      <c r="B450" t="inlineStr">
        <is>
          <t>CURAL</t>
        </is>
      </c>
      <c r="C450" t="inlineStr">
        <is>
          <t>SHELVES</t>
        </is>
      </c>
      <c r="D450" t="inlineStr">
        <is>
          <t>BL604 .B64 F73 1989 PT.3</t>
        </is>
      </c>
      <c r="E450" t="inlineStr">
        <is>
          <t>0                      BL 0604000B  64                 F  73          1989                  PT.3</t>
        </is>
      </c>
      <c r="F450" t="inlineStr">
        <is>
          <t>Fragments for a history of the human body / edited by Michel Feher with Ramona Naddaff and Nadia Tazi.</t>
        </is>
      </c>
      <c r="G450" t="inlineStr">
        <is>
          <t>PT.3*</t>
        </is>
      </c>
      <c r="H450" t="inlineStr">
        <is>
          <t>Yes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York, NY : Zone ; Cambridge, Mass. : Distributed by the MIT Press, c1989.</t>
        </is>
      </c>
      <c r="O450" t="inlineStr">
        <is>
          <t>1989</t>
        </is>
      </c>
      <c r="Q450" t="inlineStr">
        <is>
          <t>eng</t>
        </is>
      </c>
      <c r="R450" t="inlineStr">
        <is>
          <t>nyu</t>
        </is>
      </c>
      <c r="S450" t="inlineStr">
        <is>
          <t>Zone ; 3-5</t>
        </is>
      </c>
      <c r="T450" t="inlineStr">
        <is>
          <t xml:space="preserve">BL </t>
        </is>
      </c>
      <c r="U450" t="n">
        <v>9</v>
      </c>
      <c r="V450" t="n">
        <v>23</v>
      </c>
      <c r="W450" t="inlineStr">
        <is>
          <t>2005-03-17</t>
        </is>
      </c>
      <c r="X450" t="inlineStr">
        <is>
          <t>2009-06-01</t>
        </is>
      </c>
      <c r="Y450" t="inlineStr">
        <is>
          <t>1992-05-21</t>
        </is>
      </c>
      <c r="Z450" t="inlineStr">
        <is>
          <t>1992-06-17</t>
        </is>
      </c>
      <c r="AA450" t="n">
        <v>597</v>
      </c>
      <c r="AB450" t="n">
        <v>443</v>
      </c>
      <c r="AC450" t="n">
        <v>448</v>
      </c>
      <c r="AD450" t="n">
        <v>3</v>
      </c>
      <c r="AE450" t="n">
        <v>3</v>
      </c>
      <c r="AF450" t="n">
        <v>21</v>
      </c>
      <c r="AG450" t="n">
        <v>21</v>
      </c>
      <c r="AH450" t="n">
        <v>4</v>
      </c>
      <c r="AI450" t="n">
        <v>4</v>
      </c>
      <c r="AJ450" t="n">
        <v>7</v>
      </c>
      <c r="AK450" t="n">
        <v>7</v>
      </c>
      <c r="AL450" t="n">
        <v>13</v>
      </c>
      <c r="AM450" t="n">
        <v>13</v>
      </c>
      <c r="AN450" t="n">
        <v>2</v>
      </c>
      <c r="AO450" t="n">
        <v>2</v>
      </c>
      <c r="AP450" t="n">
        <v>0</v>
      </c>
      <c r="AQ450" t="n">
        <v>0</v>
      </c>
      <c r="AR450" t="inlineStr">
        <is>
          <t>No</t>
        </is>
      </c>
      <c r="AS450" t="inlineStr">
        <is>
          <t>Yes</t>
        </is>
      </c>
      <c r="AT450">
        <f>HYPERLINK("http://catalog.hathitrust.org/Record/002442977","HathiTrust Record")</f>
        <v/>
      </c>
      <c r="AU450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0">
        <f>HYPERLINK("http://www.worldcat.org/oclc/19488060","WorldCat Record")</f>
        <v/>
      </c>
      <c r="AW450" t="inlineStr">
        <is>
          <t>8907493131:eng</t>
        </is>
      </c>
      <c r="AX450" t="inlineStr">
        <is>
          <t>19488060</t>
        </is>
      </c>
      <c r="AY450" t="inlineStr">
        <is>
          <t>991005410709702656</t>
        </is>
      </c>
      <c r="AZ450" t="inlineStr">
        <is>
          <t>991005410709702656</t>
        </is>
      </c>
      <c r="BA450" t="inlineStr">
        <is>
          <t>2258519880002656</t>
        </is>
      </c>
      <c r="BB450" t="inlineStr">
        <is>
          <t>BOOK</t>
        </is>
      </c>
      <c r="BD450" t="inlineStr">
        <is>
          <t>9780942299236</t>
        </is>
      </c>
      <c r="BE450" t="inlineStr">
        <is>
          <t>32285001112936</t>
        </is>
      </c>
      <c r="BF450" t="inlineStr">
        <is>
          <t>893720371</t>
        </is>
      </c>
    </row>
    <row r="451">
      <c r="A451" t="inlineStr">
        <is>
          <t>No</t>
        </is>
      </c>
      <c r="B451" t="inlineStr">
        <is>
          <t>CURAL</t>
        </is>
      </c>
      <c r="C451" t="inlineStr">
        <is>
          <t>SHELVES</t>
        </is>
      </c>
      <c r="D451" t="inlineStr">
        <is>
          <t>BL604.B64 C3613 1988</t>
        </is>
      </c>
      <c r="E451" t="inlineStr">
        <is>
          <t>0                      BL 0604000B  64                 C  3613        1988</t>
        </is>
      </c>
      <c r="F451" t="inlineStr">
        <is>
          <t>The incorruptible flesh : bodily mutation and mortification in religion and folklore / Piero Camporesi ; translated by Tania Croft-Murray ; Latin texts translated by Helen Elsom.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M451" t="inlineStr">
        <is>
          <t>Camporesi, Piero.</t>
        </is>
      </c>
      <c r="N451" t="inlineStr">
        <is>
          <t>Cambridge ; New York : Cambridge University Press, 1988.</t>
        </is>
      </c>
      <c r="O451" t="inlineStr">
        <is>
          <t>1988</t>
        </is>
      </c>
      <c r="Q451" t="inlineStr">
        <is>
          <t>eng</t>
        </is>
      </c>
      <c r="R451" t="inlineStr">
        <is>
          <t>enk</t>
        </is>
      </c>
      <c r="S451" t="inlineStr">
        <is>
          <t>Cambridge studies in oral and literate culture ; 17</t>
        </is>
      </c>
      <c r="T451" t="inlineStr">
        <is>
          <t xml:space="preserve">BL </t>
        </is>
      </c>
      <c r="U451" t="n">
        <v>4</v>
      </c>
      <c r="V451" t="n">
        <v>4</v>
      </c>
      <c r="W451" t="inlineStr">
        <is>
          <t>2001-02-14</t>
        </is>
      </c>
      <c r="X451" t="inlineStr">
        <is>
          <t>2001-02-14</t>
        </is>
      </c>
      <c r="Y451" t="inlineStr">
        <is>
          <t>1990-01-04</t>
        </is>
      </c>
      <c r="Z451" t="inlineStr">
        <is>
          <t>1990-01-04</t>
        </is>
      </c>
      <c r="AA451" t="n">
        <v>379</v>
      </c>
      <c r="AB451" t="n">
        <v>280</v>
      </c>
      <c r="AC451" t="n">
        <v>290</v>
      </c>
      <c r="AD451" t="n">
        <v>2</v>
      </c>
      <c r="AE451" t="n">
        <v>2</v>
      </c>
      <c r="AF451" t="n">
        <v>14</v>
      </c>
      <c r="AG451" t="n">
        <v>14</v>
      </c>
      <c r="AH451" t="n">
        <v>4</v>
      </c>
      <c r="AI451" t="n">
        <v>4</v>
      </c>
      <c r="AJ451" t="n">
        <v>4</v>
      </c>
      <c r="AK451" t="n">
        <v>4</v>
      </c>
      <c r="AL451" t="n">
        <v>9</v>
      </c>
      <c r="AM451" t="n">
        <v>9</v>
      </c>
      <c r="AN451" t="n">
        <v>1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HYPERLINK("https://creighton-primo.hosted.exlibrisgroup.com/primo-explore/search?tab=default_tab&amp;search_scope=EVERYTHING&amp;vid=01CRU&amp;lang=en_US&amp;offset=0&amp;query=any,contains,991005408399702656","Catalog Record")</f>
        <v/>
      </c>
      <c r="AV451">
        <f>HYPERLINK("http://www.worldcat.org/oclc/16756263","WorldCat Record")</f>
        <v/>
      </c>
      <c r="AW451" t="inlineStr">
        <is>
          <t>4494966704:eng</t>
        </is>
      </c>
      <c r="AX451" t="inlineStr">
        <is>
          <t>16756263</t>
        </is>
      </c>
      <c r="AY451" t="inlineStr">
        <is>
          <t>991005408399702656</t>
        </is>
      </c>
      <c r="AZ451" t="inlineStr">
        <is>
          <t>991005408399702656</t>
        </is>
      </c>
      <c r="BA451" t="inlineStr">
        <is>
          <t>2260891360002656</t>
        </is>
      </c>
      <c r="BB451" t="inlineStr">
        <is>
          <t>BOOK</t>
        </is>
      </c>
      <c r="BD451" t="inlineStr">
        <is>
          <t>9780521320030</t>
        </is>
      </c>
      <c r="BE451" t="inlineStr">
        <is>
          <t>32285000026020</t>
        </is>
      </c>
      <c r="BF451" t="inlineStr">
        <is>
          <t>893701533</t>
        </is>
      </c>
    </row>
    <row r="452">
      <c r="A452" t="inlineStr">
        <is>
          <t>No</t>
        </is>
      </c>
      <c r="B452" t="inlineStr">
        <is>
          <t>CURAL</t>
        </is>
      </c>
      <c r="C452" t="inlineStr">
        <is>
          <t>SHELVES</t>
        </is>
      </c>
      <c r="D452" t="inlineStr">
        <is>
          <t>BL604.B64 F73 1989</t>
        </is>
      </c>
      <c r="E452" t="inlineStr">
        <is>
          <t>0                      BL 0604000B  64                 F  73          1989</t>
        </is>
      </c>
      <c r="F452" t="inlineStr">
        <is>
          <t>Fragments for a history of the human body / edited by Michel Feher with Ramona Naddaff and Nadia Tazi.</t>
        </is>
      </c>
      <c r="H452" t="inlineStr">
        <is>
          <t>Yes</t>
        </is>
      </c>
      <c r="I452" t="inlineStr">
        <is>
          <t>1</t>
        </is>
      </c>
      <c r="J452" t="inlineStr">
        <is>
          <t>Yes</t>
        </is>
      </c>
      <c r="K452" t="inlineStr">
        <is>
          <t>No</t>
        </is>
      </c>
      <c r="L452" t="inlineStr">
        <is>
          <t>0</t>
        </is>
      </c>
      <c r="N452" t="inlineStr">
        <is>
          <t>New York, NY : Zone ; Cambridge, Mass. : Distributed by the MIT Press, c1989.</t>
        </is>
      </c>
      <c r="O452" t="inlineStr">
        <is>
          <t>1989</t>
        </is>
      </c>
      <c r="Q452" t="inlineStr">
        <is>
          <t>eng</t>
        </is>
      </c>
      <c r="R452" t="inlineStr">
        <is>
          <t>nyu</t>
        </is>
      </c>
      <c r="S452" t="inlineStr">
        <is>
          <t>Zone ; 3-5</t>
        </is>
      </c>
      <c r="T452" t="inlineStr">
        <is>
          <t xml:space="preserve">BL </t>
        </is>
      </c>
      <c r="U452" t="n">
        <v>8</v>
      </c>
      <c r="V452" t="n">
        <v>23</v>
      </c>
      <c r="W452" t="inlineStr">
        <is>
          <t>2009-06-01</t>
        </is>
      </c>
      <c r="X452" t="inlineStr">
        <is>
          <t>2009-06-01</t>
        </is>
      </c>
      <c r="Y452" t="inlineStr">
        <is>
          <t>1992-02-21</t>
        </is>
      </c>
      <c r="Z452" t="inlineStr">
        <is>
          <t>1992-06-17</t>
        </is>
      </c>
      <c r="AA452" t="n">
        <v>597</v>
      </c>
      <c r="AB452" t="n">
        <v>443</v>
      </c>
      <c r="AC452" t="n">
        <v>448</v>
      </c>
      <c r="AD452" t="n">
        <v>3</v>
      </c>
      <c r="AE452" t="n">
        <v>3</v>
      </c>
      <c r="AF452" t="n">
        <v>21</v>
      </c>
      <c r="AG452" t="n">
        <v>21</v>
      </c>
      <c r="AH452" t="n">
        <v>4</v>
      </c>
      <c r="AI452" t="n">
        <v>4</v>
      </c>
      <c r="AJ452" t="n">
        <v>7</v>
      </c>
      <c r="AK452" t="n">
        <v>7</v>
      </c>
      <c r="AL452" t="n">
        <v>13</v>
      </c>
      <c r="AM452" t="n">
        <v>13</v>
      </c>
      <c r="AN452" t="n">
        <v>2</v>
      </c>
      <c r="AO452" t="n">
        <v>2</v>
      </c>
      <c r="AP452" t="n">
        <v>0</v>
      </c>
      <c r="AQ452" t="n">
        <v>0</v>
      </c>
      <c r="AR452" t="inlineStr">
        <is>
          <t>No</t>
        </is>
      </c>
      <c r="AS452" t="inlineStr">
        <is>
          <t>Yes</t>
        </is>
      </c>
      <c r="AT452">
        <f>HYPERLINK("http://catalog.hathitrust.org/Record/002442977","HathiTrust Record")</f>
        <v/>
      </c>
      <c r="AU452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2">
        <f>HYPERLINK("http://www.worldcat.org/oclc/19488060","WorldCat Record")</f>
        <v/>
      </c>
      <c r="AW452" t="inlineStr">
        <is>
          <t>8907493131:eng</t>
        </is>
      </c>
      <c r="AX452" t="inlineStr">
        <is>
          <t>19488060</t>
        </is>
      </c>
      <c r="AY452" t="inlineStr">
        <is>
          <t>991005410709702656</t>
        </is>
      </c>
      <c r="AZ452" t="inlineStr">
        <is>
          <t>991005410709702656</t>
        </is>
      </c>
      <c r="BA452" t="inlineStr">
        <is>
          <t>2258519880002656</t>
        </is>
      </c>
      <c r="BB452" t="inlineStr">
        <is>
          <t>BOOK</t>
        </is>
      </c>
      <c r="BD452" t="inlineStr">
        <is>
          <t>9780942299236</t>
        </is>
      </c>
      <c r="BE452" t="inlineStr">
        <is>
          <t>32285000935618</t>
        </is>
      </c>
      <c r="BF452" t="inlineStr">
        <is>
          <t>893689158</t>
        </is>
      </c>
    </row>
    <row r="453">
      <c r="A453" t="inlineStr">
        <is>
          <t>No</t>
        </is>
      </c>
      <c r="B453" t="inlineStr">
        <is>
          <t>CURAL</t>
        </is>
      </c>
      <c r="C453" t="inlineStr">
        <is>
          <t>SHELVES</t>
        </is>
      </c>
      <c r="D453" t="inlineStr">
        <is>
          <t>BL615 .E4 1965</t>
        </is>
      </c>
      <c r="E453" t="inlineStr">
        <is>
          <t>0                      BL 0615000E  4           1965</t>
        </is>
      </c>
      <c r="F453" t="inlineStr">
        <is>
          <t>Rites and symbols of initiation.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M453" t="inlineStr">
        <is>
          <t>Eliade, Mircea, 1907-1986.</t>
        </is>
      </c>
      <c r="N453" t="inlineStr">
        <is>
          <t>New York, Harper &amp; Row [1965, c1958]</t>
        </is>
      </c>
      <c r="O453" t="inlineStr">
        <is>
          <t>1965</t>
        </is>
      </c>
      <c r="Q453" t="inlineStr">
        <is>
          <t>eng</t>
        </is>
      </c>
      <c r="R453" t="inlineStr">
        <is>
          <t>___</t>
        </is>
      </c>
      <c r="S453" t="inlineStr">
        <is>
          <t>Harper Torchbooks, TB1236H. The academy library</t>
        </is>
      </c>
      <c r="T453" t="inlineStr">
        <is>
          <t xml:space="preserve">BL </t>
        </is>
      </c>
      <c r="U453" t="n">
        <v>9</v>
      </c>
      <c r="V453" t="n">
        <v>9</v>
      </c>
      <c r="W453" t="inlineStr">
        <is>
          <t>2007-12-09</t>
        </is>
      </c>
      <c r="X453" t="inlineStr">
        <is>
          <t>2007-12-09</t>
        </is>
      </c>
      <c r="Y453" t="inlineStr">
        <is>
          <t>1990-10-11</t>
        </is>
      </c>
      <c r="Z453" t="inlineStr">
        <is>
          <t>1990-10-11</t>
        </is>
      </c>
      <c r="AA453" t="n">
        <v>620</v>
      </c>
      <c r="AB453" t="n">
        <v>523</v>
      </c>
      <c r="AC453" t="n">
        <v>926</v>
      </c>
      <c r="AD453" t="n">
        <v>4</v>
      </c>
      <c r="AE453" t="n">
        <v>9</v>
      </c>
      <c r="AF453" t="n">
        <v>37</v>
      </c>
      <c r="AG453" t="n">
        <v>51</v>
      </c>
      <c r="AH453" t="n">
        <v>16</v>
      </c>
      <c r="AI453" t="n">
        <v>21</v>
      </c>
      <c r="AJ453" t="n">
        <v>7</v>
      </c>
      <c r="AK453" t="n">
        <v>9</v>
      </c>
      <c r="AL453" t="n">
        <v>22</v>
      </c>
      <c r="AM453" t="n">
        <v>26</v>
      </c>
      <c r="AN453" t="n">
        <v>2</v>
      </c>
      <c r="AO453" t="n">
        <v>7</v>
      </c>
      <c r="AP453" t="n">
        <v>0</v>
      </c>
      <c r="AQ453" t="n">
        <v>0</v>
      </c>
      <c r="AR453" t="inlineStr">
        <is>
          <t>No</t>
        </is>
      </c>
      <c r="AS453" t="inlineStr">
        <is>
          <t>Yes</t>
        </is>
      </c>
      <c r="AT453">
        <f>HYPERLINK("http://catalog.hathitrust.org/Record/001922320","HathiTrust Record")</f>
        <v/>
      </c>
      <c r="AU453">
        <f>HYPERLINK("https://creighton-primo.hosted.exlibrisgroup.com/primo-explore/search?tab=default_tab&amp;search_scope=EVERYTHING&amp;vid=01CRU&amp;lang=en_US&amp;offset=0&amp;query=any,contains,991002626389702656","Catalog Record")</f>
        <v/>
      </c>
      <c r="AV453">
        <f>HYPERLINK("http://www.worldcat.org/oclc/6807770","WorldCat Record")</f>
        <v/>
      </c>
      <c r="AW453" t="inlineStr">
        <is>
          <t>49112332:eng</t>
        </is>
      </c>
      <c r="AX453" t="inlineStr">
        <is>
          <t>6807770</t>
        </is>
      </c>
      <c r="AY453" t="inlineStr">
        <is>
          <t>991002626389702656</t>
        </is>
      </c>
      <c r="AZ453" t="inlineStr">
        <is>
          <t>991002626389702656</t>
        </is>
      </c>
      <c r="BA453" t="inlineStr">
        <is>
          <t>2259944770002656</t>
        </is>
      </c>
      <c r="BB453" t="inlineStr">
        <is>
          <t>BOOK</t>
        </is>
      </c>
      <c r="BE453" t="inlineStr">
        <is>
          <t>32285000346303</t>
        </is>
      </c>
      <c r="BF453" t="inlineStr">
        <is>
          <t>893691805</t>
        </is>
      </c>
    </row>
    <row r="454">
      <c r="A454" t="inlineStr">
        <is>
          <t>No</t>
        </is>
      </c>
      <c r="B454" t="inlineStr">
        <is>
          <t>CURAL</t>
        </is>
      </c>
      <c r="C454" t="inlineStr">
        <is>
          <t>SHELVES</t>
        </is>
      </c>
      <c r="D454" t="inlineStr">
        <is>
          <t>BL624 .B62 1991</t>
        </is>
      </c>
      <c r="E454" t="inlineStr">
        <is>
          <t>0                      BL 0624000B  62          1991</t>
        </is>
      </c>
      <c r="F454" t="inlineStr">
        <is>
          <t>Guilt is the teacher, love is the lesson / by Joan Borysenko.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Borysenko, Joan.</t>
        </is>
      </c>
      <c r="N454" t="inlineStr">
        <is>
          <t>New York : Warner Books, 1991, c1990.</t>
        </is>
      </c>
      <c r="O454" t="inlineStr">
        <is>
          <t>1991</t>
        </is>
      </c>
      <c r="P454" t="inlineStr">
        <is>
          <t>1st trade [ed.]</t>
        </is>
      </c>
      <c r="Q454" t="inlineStr">
        <is>
          <t>eng</t>
        </is>
      </c>
      <c r="R454" t="inlineStr">
        <is>
          <t>nyu</t>
        </is>
      </c>
      <c r="T454" t="inlineStr">
        <is>
          <t xml:space="preserve">BL </t>
        </is>
      </c>
      <c r="U454" t="n">
        <v>1</v>
      </c>
      <c r="V454" t="n">
        <v>1</v>
      </c>
      <c r="W454" t="inlineStr">
        <is>
          <t>2002-08-13</t>
        </is>
      </c>
      <c r="X454" t="inlineStr">
        <is>
          <t>2002-08-13</t>
        </is>
      </c>
      <c r="Y454" t="inlineStr">
        <is>
          <t>2002-08-13</t>
        </is>
      </c>
      <c r="Z454" t="inlineStr">
        <is>
          <t>2002-08-13</t>
        </is>
      </c>
      <c r="AA454" t="n">
        <v>84</v>
      </c>
      <c r="AB454" t="n">
        <v>80</v>
      </c>
      <c r="AC454" t="n">
        <v>773</v>
      </c>
      <c r="AD454" t="n">
        <v>2</v>
      </c>
      <c r="AE454" t="n">
        <v>6</v>
      </c>
      <c r="AF454" t="n">
        <v>3</v>
      </c>
      <c r="AG454" t="n">
        <v>10</v>
      </c>
      <c r="AH454" t="n">
        <v>0</v>
      </c>
      <c r="AI454" t="n">
        <v>4</v>
      </c>
      <c r="AJ454" t="n">
        <v>1</v>
      </c>
      <c r="AK454" t="n">
        <v>2</v>
      </c>
      <c r="AL454" t="n">
        <v>2</v>
      </c>
      <c r="AM454" t="n">
        <v>7</v>
      </c>
      <c r="AN454" t="n">
        <v>0</v>
      </c>
      <c r="AO454" t="n">
        <v>0</v>
      </c>
      <c r="AP454" t="n">
        <v>0</v>
      </c>
      <c r="AQ454" t="n">
        <v>0</v>
      </c>
      <c r="AR454" t="inlineStr">
        <is>
          <t>No</t>
        </is>
      </c>
      <c r="AS454" t="inlineStr">
        <is>
          <t>No</t>
        </is>
      </c>
      <c r="AU454">
        <f>HYPERLINK("https://creighton-primo.hosted.exlibrisgroup.com/primo-explore/search?tab=default_tab&amp;search_scope=EVERYTHING&amp;vid=01CRU&amp;lang=en_US&amp;offset=0&amp;query=any,contains,991003856019702656","Catalog Record")</f>
        <v/>
      </c>
      <c r="AV454">
        <f>HYPERLINK("http://www.worldcat.org/oclc/25987651","WorldCat Record")</f>
        <v/>
      </c>
      <c r="AW454" t="inlineStr">
        <is>
          <t>10901527:eng</t>
        </is>
      </c>
      <c r="AX454" t="inlineStr">
        <is>
          <t>25987651</t>
        </is>
      </c>
      <c r="AY454" t="inlineStr">
        <is>
          <t>991003856019702656</t>
        </is>
      </c>
      <c r="AZ454" t="inlineStr">
        <is>
          <t>991003856019702656</t>
        </is>
      </c>
      <c r="BA454" t="inlineStr">
        <is>
          <t>2256095060002656</t>
        </is>
      </c>
      <c r="BB454" t="inlineStr">
        <is>
          <t>BOOK</t>
        </is>
      </c>
      <c r="BD454" t="inlineStr">
        <is>
          <t>9780446392242</t>
        </is>
      </c>
      <c r="BE454" t="inlineStr">
        <is>
          <t>32285004642293</t>
        </is>
      </c>
      <c r="BF454" t="inlineStr">
        <is>
          <t>893423055</t>
        </is>
      </c>
    </row>
    <row r="455">
      <c r="A455" t="inlineStr">
        <is>
          <t>No</t>
        </is>
      </c>
      <c r="B455" t="inlineStr">
        <is>
          <t>CURAL</t>
        </is>
      </c>
      <c r="C455" t="inlineStr">
        <is>
          <t>SHELVES</t>
        </is>
      </c>
      <c r="D455" t="inlineStr">
        <is>
          <t>BL624 .B75 1996</t>
        </is>
      </c>
      <c r="E455" t="inlineStr">
        <is>
          <t>0                      BL 0624000B  75          1996</t>
        </is>
      </c>
      <c r="F455" t="inlineStr">
        <is>
          <t>Spiritual literacy : reading the sacred in everyday life / Frederic and Mary Ann Brussat.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Brussat, Frederic.</t>
        </is>
      </c>
      <c r="N455" t="inlineStr">
        <is>
          <t>New York, NY : Scribner, c1996.</t>
        </is>
      </c>
      <c r="O455" t="inlineStr">
        <is>
          <t>1996</t>
        </is>
      </c>
      <c r="Q455" t="inlineStr">
        <is>
          <t>eng</t>
        </is>
      </c>
      <c r="R455" t="inlineStr">
        <is>
          <t>nyu</t>
        </is>
      </c>
      <c r="T455" t="inlineStr">
        <is>
          <t xml:space="preserve">BL </t>
        </is>
      </c>
      <c r="U455" t="n">
        <v>4</v>
      </c>
      <c r="V455" t="n">
        <v>4</v>
      </c>
      <c r="W455" t="inlineStr">
        <is>
          <t>2008-12-02</t>
        </is>
      </c>
      <c r="X455" t="inlineStr">
        <is>
          <t>2008-12-02</t>
        </is>
      </c>
      <c r="Y455" t="inlineStr">
        <is>
          <t>1997-04-03</t>
        </is>
      </c>
      <c r="Z455" t="inlineStr">
        <is>
          <t>1997-04-03</t>
        </is>
      </c>
      <c r="AA455" t="n">
        <v>705</v>
      </c>
      <c r="AB455" t="n">
        <v>655</v>
      </c>
      <c r="AC455" t="n">
        <v>770</v>
      </c>
      <c r="AD455" t="n">
        <v>8</v>
      </c>
      <c r="AE455" t="n">
        <v>9</v>
      </c>
      <c r="AF455" t="n">
        <v>11</v>
      </c>
      <c r="AG455" t="n">
        <v>17</v>
      </c>
      <c r="AH455" t="n">
        <v>2</v>
      </c>
      <c r="AI455" t="n">
        <v>5</v>
      </c>
      <c r="AJ455" t="n">
        <v>4</v>
      </c>
      <c r="AK455" t="n">
        <v>5</v>
      </c>
      <c r="AL455" t="n">
        <v>5</v>
      </c>
      <c r="AM455" t="n">
        <v>9</v>
      </c>
      <c r="AN455" t="n">
        <v>2</v>
      </c>
      <c r="AO455" t="n">
        <v>3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HYPERLINK("https://creighton-primo.hosted.exlibrisgroup.com/primo-explore/search?tab=default_tab&amp;search_scope=EVERYTHING&amp;vid=01CRU&amp;lang=en_US&amp;offset=0&amp;query=any,contains,991002661529702656","Catalog Record")</f>
        <v/>
      </c>
      <c r="AV455">
        <f>HYPERLINK("http://www.worldcat.org/oclc/34782666","WorldCat Record")</f>
        <v/>
      </c>
      <c r="AW455" t="inlineStr">
        <is>
          <t>20698651:eng</t>
        </is>
      </c>
      <c r="AX455" t="inlineStr">
        <is>
          <t>34782666</t>
        </is>
      </c>
      <c r="AY455" t="inlineStr">
        <is>
          <t>991002661529702656</t>
        </is>
      </c>
      <c r="AZ455" t="inlineStr">
        <is>
          <t>991002661529702656</t>
        </is>
      </c>
      <c r="BA455" t="inlineStr">
        <is>
          <t>2255498980002656</t>
        </is>
      </c>
      <c r="BB455" t="inlineStr">
        <is>
          <t>BOOK</t>
        </is>
      </c>
      <c r="BD455" t="inlineStr">
        <is>
          <t>9780684815336</t>
        </is>
      </c>
      <c r="BE455" t="inlineStr">
        <is>
          <t>32285002478641</t>
        </is>
      </c>
      <c r="BF455" t="inlineStr">
        <is>
          <t>893323201</t>
        </is>
      </c>
    </row>
    <row r="456">
      <c r="A456" t="inlineStr">
        <is>
          <t>No</t>
        </is>
      </c>
      <c r="B456" t="inlineStr">
        <is>
          <t>CURAL</t>
        </is>
      </c>
      <c r="C456" t="inlineStr">
        <is>
          <t>SHELVES</t>
        </is>
      </c>
      <c r="D456" t="inlineStr">
        <is>
          <t>BL624 .F74</t>
        </is>
      </c>
      <c r="E456" t="inlineStr">
        <is>
          <t>0                      BL 0624000F  74</t>
        </is>
      </c>
      <c r="F456" t="inlineStr">
        <is>
          <t>Woman's way to God / Anne Fremantle.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Fremantle, Anne, 1909-2002.</t>
        </is>
      </c>
      <c r="N456" t="inlineStr">
        <is>
          <t>New York : St. Martin's Press, c1977.</t>
        </is>
      </c>
      <c r="O456" t="inlineStr">
        <is>
          <t>1977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BL </t>
        </is>
      </c>
      <c r="U456" t="n">
        <v>2</v>
      </c>
      <c r="V456" t="n">
        <v>2</v>
      </c>
      <c r="W456" t="inlineStr">
        <is>
          <t>2000-09-07</t>
        </is>
      </c>
      <c r="X456" t="inlineStr">
        <is>
          <t>2000-09-07</t>
        </is>
      </c>
      <c r="Y456" t="inlineStr">
        <is>
          <t>1990-10-11</t>
        </is>
      </c>
      <c r="Z456" t="inlineStr">
        <is>
          <t>1990-10-11</t>
        </is>
      </c>
      <c r="AA456" t="n">
        <v>384</v>
      </c>
      <c r="AB456" t="n">
        <v>356</v>
      </c>
      <c r="AC456" t="n">
        <v>361</v>
      </c>
      <c r="AD456" t="n">
        <v>6</v>
      </c>
      <c r="AE456" t="n">
        <v>6</v>
      </c>
      <c r="AF456" t="n">
        <v>12</v>
      </c>
      <c r="AG456" t="n">
        <v>12</v>
      </c>
      <c r="AH456" t="n">
        <v>2</v>
      </c>
      <c r="AI456" t="n">
        <v>2</v>
      </c>
      <c r="AJ456" t="n">
        <v>4</v>
      </c>
      <c r="AK456" t="n">
        <v>4</v>
      </c>
      <c r="AL456" t="n">
        <v>6</v>
      </c>
      <c r="AM456" t="n">
        <v>6</v>
      </c>
      <c r="AN456" t="n">
        <v>2</v>
      </c>
      <c r="AO456" t="n">
        <v>2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HYPERLINK("https://creighton-primo.hosted.exlibrisgroup.com/primo-explore/search?tab=default_tab&amp;search_scope=EVERYTHING&amp;vid=01CRU&amp;lang=en_US&amp;offset=0&amp;query=any,contains,991004321089702656","Catalog Record")</f>
        <v/>
      </c>
      <c r="AV456">
        <f>HYPERLINK("http://www.worldcat.org/oclc/3017894","WorldCat Record")</f>
        <v/>
      </c>
      <c r="AW456" t="inlineStr">
        <is>
          <t>7159566:eng</t>
        </is>
      </c>
      <c r="AX456" t="inlineStr">
        <is>
          <t>3017894</t>
        </is>
      </c>
      <c r="AY456" t="inlineStr">
        <is>
          <t>991004321089702656</t>
        </is>
      </c>
      <c r="AZ456" t="inlineStr">
        <is>
          <t>991004321089702656</t>
        </is>
      </c>
      <c r="BA456" t="inlineStr">
        <is>
          <t>2269899950002656</t>
        </is>
      </c>
      <c r="BB456" t="inlineStr">
        <is>
          <t>BOOK</t>
        </is>
      </c>
      <c r="BD456" t="inlineStr">
        <is>
          <t>9780312886905</t>
        </is>
      </c>
      <c r="BE456" t="inlineStr">
        <is>
          <t>32285000346345</t>
        </is>
      </c>
      <c r="BF456" t="inlineStr">
        <is>
          <t>893229208</t>
        </is>
      </c>
    </row>
    <row r="457">
      <c r="A457" t="inlineStr">
        <is>
          <t>No</t>
        </is>
      </c>
      <c r="B457" t="inlineStr">
        <is>
          <t>CURAL</t>
        </is>
      </c>
      <c r="C457" t="inlineStr">
        <is>
          <t>SHELVES</t>
        </is>
      </c>
      <c r="D457" t="inlineStr">
        <is>
          <t>BL624 .H38 1986</t>
        </is>
      </c>
      <c r="E457" t="inlineStr">
        <is>
          <t>0                      BL 0624000H  38          1986</t>
        </is>
      </c>
      <c r="F457" t="inlineStr">
        <is>
          <t>Entering the cave of the heart : Eastern ways of prayer for Western Christians / by Kathleen Healy.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Healy, Kathleen.</t>
        </is>
      </c>
      <c r="N457" t="inlineStr">
        <is>
          <t>New York : Paulist Press, c1986.</t>
        </is>
      </c>
      <c r="O457" t="inlineStr">
        <is>
          <t>1986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BL </t>
        </is>
      </c>
      <c r="U457" t="n">
        <v>8</v>
      </c>
      <c r="V457" t="n">
        <v>8</v>
      </c>
      <c r="W457" t="inlineStr">
        <is>
          <t>2008-01-31</t>
        </is>
      </c>
      <c r="X457" t="inlineStr">
        <is>
          <t>2008-01-31</t>
        </is>
      </c>
      <c r="Y457" t="inlineStr">
        <is>
          <t>1990-10-11</t>
        </is>
      </c>
      <c r="Z457" t="inlineStr">
        <is>
          <t>1990-10-11</t>
        </is>
      </c>
      <c r="AA457" t="n">
        <v>170</v>
      </c>
      <c r="AB457" t="n">
        <v>156</v>
      </c>
      <c r="AC457" t="n">
        <v>156</v>
      </c>
      <c r="AD457" t="n">
        <v>3</v>
      </c>
      <c r="AE457" t="n">
        <v>3</v>
      </c>
      <c r="AF457" t="n">
        <v>11</v>
      </c>
      <c r="AG457" t="n">
        <v>11</v>
      </c>
      <c r="AH457" t="n">
        <v>3</v>
      </c>
      <c r="AI457" t="n">
        <v>3</v>
      </c>
      <c r="AJ457" t="n">
        <v>3</v>
      </c>
      <c r="AK457" t="n">
        <v>3</v>
      </c>
      <c r="AL457" t="n">
        <v>8</v>
      </c>
      <c r="AM457" t="n">
        <v>8</v>
      </c>
      <c r="AN457" t="n">
        <v>1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HYPERLINK("https://creighton-primo.hosted.exlibrisgroup.com/primo-explore/search?tab=default_tab&amp;search_scope=EVERYTHING&amp;vid=01CRU&amp;lang=en_US&amp;offset=0&amp;query=any,contains,991000808669702656","Catalog Record")</f>
        <v/>
      </c>
      <c r="AV457">
        <f>HYPERLINK("http://www.worldcat.org/oclc/13328424","WorldCat Record")</f>
        <v/>
      </c>
      <c r="AW457" t="inlineStr">
        <is>
          <t>5311638267:eng</t>
        </is>
      </c>
      <c r="AX457" t="inlineStr">
        <is>
          <t>13328424</t>
        </is>
      </c>
      <c r="AY457" t="inlineStr">
        <is>
          <t>991000808669702656</t>
        </is>
      </c>
      <c r="AZ457" t="inlineStr">
        <is>
          <t>991000808669702656</t>
        </is>
      </c>
      <c r="BA457" t="inlineStr">
        <is>
          <t>2258495840002656</t>
        </is>
      </c>
      <c r="BB457" t="inlineStr">
        <is>
          <t>BOOK</t>
        </is>
      </c>
      <c r="BD457" t="inlineStr">
        <is>
          <t>9780809127924</t>
        </is>
      </c>
      <c r="BE457" t="inlineStr">
        <is>
          <t>32285000346360</t>
        </is>
      </c>
      <c r="BF457" t="inlineStr">
        <is>
          <t>893509127</t>
        </is>
      </c>
    </row>
    <row r="458">
      <c r="A458" t="inlineStr">
        <is>
          <t>No</t>
        </is>
      </c>
      <c r="B458" t="inlineStr">
        <is>
          <t>CURAL</t>
        </is>
      </c>
      <c r="C458" t="inlineStr">
        <is>
          <t>SHELVES</t>
        </is>
      </c>
      <c r="D458" t="inlineStr">
        <is>
          <t>BL624 .I5 1969</t>
        </is>
      </c>
      <c r="E458" t="inlineStr">
        <is>
          <t>0                      BL 0624000I  5           1969</t>
        </is>
      </c>
      <c r="F458" t="inlineStr">
        <is>
          <t>Mysticism in religion / W. R. Inge.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Inge, William Ralph, 1860-1954.</t>
        </is>
      </c>
      <c r="N458" t="inlineStr">
        <is>
          <t>London : Rider and Company, 1969.</t>
        </is>
      </c>
      <c r="O458" t="inlineStr">
        <is>
          <t>1969</t>
        </is>
      </c>
      <c r="Q458" t="inlineStr">
        <is>
          <t>eng</t>
        </is>
      </c>
      <c r="R458" t="inlineStr">
        <is>
          <t>___</t>
        </is>
      </c>
      <c r="T458" t="inlineStr">
        <is>
          <t xml:space="preserve">BL </t>
        </is>
      </c>
      <c r="U458" t="n">
        <v>2</v>
      </c>
      <c r="V458" t="n">
        <v>2</v>
      </c>
      <c r="W458" t="inlineStr">
        <is>
          <t>2006-10-24</t>
        </is>
      </c>
      <c r="X458" t="inlineStr">
        <is>
          <t>2006-10-24</t>
        </is>
      </c>
      <c r="Y458" t="inlineStr">
        <is>
          <t>1990-10-11</t>
        </is>
      </c>
      <c r="Z458" t="inlineStr">
        <is>
          <t>1990-10-11</t>
        </is>
      </c>
      <c r="AA458" t="n">
        <v>63</v>
      </c>
      <c r="AB458" t="n">
        <v>28</v>
      </c>
      <c r="AC458" t="n">
        <v>659</v>
      </c>
      <c r="AD458" t="n">
        <v>2</v>
      </c>
      <c r="AE458" t="n">
        <v>8</v>
      </c>
      <c r="AF458" t="n">
        <v>2</v>
      </c>
      <c r="AG458" t="n">
        <v>33</v>
      </c>
      <c r="AH458" t="n">
        <v>0</v>
      </c>
      <c r="AI458" t="n">
        <v>15</v>
      </c>
      <c r="AJ458" t="n">
        <v>1</v>
      </c>
      <c r="AK458" t="n">
        <v>8</v>
      </c>
      <c r="AL458" t="n">
        <v>0</v>
      </c>
      <c r="AM458" t="n">
        <v>14</v>
      </c>
      <c r="AN458" t="n">
        <v>1</v>
      </c>
      <c r="AO458" t="n">
        <v>5</v>
      </c>
      <c r="AP458" t="n">
        <v>0</v>
      </c>
      <c r="AQ458" t="n">
        <v>0</v>
      </c>
      <c r="AR458" t="inlineStr">
        <is>
          <t>No</t>
        </is>
      </c>
      <c r="AS458" t="inlineStr">
        <is>
          <t>No</t>
        </is>
      </c>
      <c r="AU458">
        <f>HYPERLINK("https://creighton-primo.hosted.exlibrisgroup.com/primo-explore/search?tab=default_tab&amp;search_scope=EVERYTHING&amp;vid=01CRU&amp;lang=en_US&amp;offset=0&amp;query=any,contains,991002850989702656","Catalog Record")</f>
        <v/>
      </c>
      <c r="AV458">
        <f>HYPERLINK("http://www.worldcat.org/oclc/486864","WorldCat Record")</f>
        <v/>
      </c>
      <c r="AW458" t="inlineStr">
        <is>
          <t>501788:eng</t>
        </is>
      </c>
      <c r="AX458" t="inlineStr">
        <is>
          <t>486864</t>
        </is>
      </c>
      <c r="AY458" t="inlineStr">
        <is>
          <t>991002850989702656</t>
        </is>
      </c>
      <c r="AZ458" t="inlineStr">
        <is>
          <t>991002850989702656</t>
        </is>
      </c>
      <c r="BA458" t="inlineStr">
        <is>
          <t>2256523400002656</t>
        </is>
      </c>
      <c r="BB458" t="inlineStr">
        <is>
          <t>BOOK</t>
        </is>
      </c>
      <c r="BE458" t="inlineStr">
        <is>
          <t>32285000346386</t>
        </is>
      </c>
      <c r="BF458" t="inlineStr">
        <is>
          <t>893904117</t>
        </is>
      </c>
    </row>
    <row r="459">
      <c r="A459" t="inlineStr">
        <is>
          <t>No</t>
        </is>
      </c>
      <c r="B459" t="inlineStr">
        <is>
          <t>CURAL</t>
        </is>
      </c>
      <c r="C459" t="inlineStr">
        <is>
          <t>SHELVES</t>
        </is>
      </c>
      <c r="D459" t="inlineStr">
        <is>
          <t>BL624 .M63 1992</t>
        </is>
      </c>
      <c r="E459" t="inlineStr">
        <is>
          <t>0                      BL 0624000M  63          1992</t>
        </is>
      </c>
      <c r="F459" t="inlineStr">
        <is>
          <t>Modern esoteric spirituality / edited by Antoine Faivre and Jacob Needleman ; associate editor, Karen Voss.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N459" t="inlineStr">
        <is>
          <t>New York : Crossroad, 1992.</t>
        </is>
      </c>
      <c r="O459" t="inlineStr">
        <is>
          <t>1992</t>
        </is>
      </c>
      <c r="Q459" t="inlineStr">
        <is>
          <t>eng</t>
        </is>
      </c>
      <c r="R459" t="inlineStr">
        <is>
          <t>nyu</t>
        </is>
      </c>
      <c r="S459" t="inlineStr">
        <is>
          <t>World spirituality ; v. 21</t>
        </is>
      </c>
      <c r="T459" t="inlineStr">
        <is>
          <t xml:space="preserve">BL </t>
        </is>
      </c>
      <c r="U459" t="n">
        <v>1</v>
      </c>
      <c r="V459" t="n">
        <v>1</v>
      </c>
      <c r="W459" t="inlineStr">
        <is>
          <t>1993-02-26</t>
        </is>
      </c>
      <c r="X459" t="inlineStr">
        <is>
          <t>1993-02-26</t>
        </is>
      </c>
      <c r="Y459" t="inlineStr">
        <is>
          <t>1993-01-28</t>
        </is>
      </c>
      <c r="Z459" t="inlineStr">
        <is>
          <t>1993-01-28</t>
        </is>
      </c>
      <c r="AA459" t="n">
        <v>436</v>
      </c>
      <c r="AB459" t="n">
        <v>364</v>
      </c>
      <c r="AC459" t="n">
        <v>387</v>
      </c>
      <c r="AD459" t="n">
        <v>3</v>
      </c>
      <c r="AE459" t="n">
        <v>3</v>
      </c>
      <c r="AF459" t="n">
        <v>30</v>
      </c>
      <c r="AG459" t="n">
        <v>31</v>
      </c>
      <c r="AH459" t="n">
        <v>15</v>
      </c>
      <c r="AI459" t="n">
        <v>15</v>
      </c>
      <c r="AJ459" t="n">
        <v>6</v>
      </c>
      <c r="AK459" t="n">
        <v>6</v>
      </c>
      <c r="AL459" t="n">
        <v>18</v>
      </c>
      <c r="AM459" t="n">
        <v>19</v>
      </c>
      <c r="AN459" t="n">
        <v>1</v>
      </c>
      <c r="AO459" t="n">
        <v>1</v>
      </c>
      <c r="AP459" t="n">
        <v>0</v>
      </c>
      <c r="AQ459" t="n">
        <v>0</v>
      </c>
      <c r="AR459" t="inlineStr">
        <is>
          <t>No</t>
        </is>
      </c>
      <c r="AS459" t="inlineStr">
        <is>
          <t>Yes</t>
        </is>
      </c>
      <c r="AT459">
        <f>HYPERLINK("http://catalog.hathitrust.org/Record/002619716","HathiTrust Record")</f>
        <v/>
      </c>
      <c r="AU459">
        <f>HYPERLINK("https://creighton-primo.hosted.exlibrisgroup.com/primo-explore/search?tab=default_tab&amp;search_scope=EVERYTHING&amp;vid=01CRU&amp;lang=en_US&amp;offset=0&amp;query=any,contains,991002018879702656","Catalog Record")</f>
        <v/>
      </c>
      <c r="AV459">
        <f>HYPERLINK("http://www.worldcat.org/oclc/25675934","WorldCat Record")</f>
        <v/>
      </c>
      <c r="AW459" t="inlineStr">
        <is>
          <t>365251690:eng</t>
        </is>
      </c>
      <c r="AX459" t="inlineStr">
        <is>
          <t>25675934</t>
        </is>
      </c>
      <c r="AY459" t="inlineStr">
        <is>
          <t>991002018879702656</t>
        </is>
      </c>
      <c r="AZ459" t="inlineStr">
        <is>
          <t>991002018879702656</t>
        </is>
      </c>
      <c r="BA459" t="inlineStr">
        <is>
          <t>2267002020002656</t>
        </is>
      </c>
      <c r="BB459" t="inlineStr">
        <is>
          <t>BOOK</t>
        </is>
      </c>
      <c r="BD459" t="inlineStr">
        <is>
          <t>9780824511456</t>
        </is>
      </c>
      <c r="BE459" t="inlineStr">
        <is>
          <t>32285001520211</t>
        </is>
      </c>
      <c r="BF459" t="inlineStr">
        <is>
          <t>893328596</t>
        </is>
      </c>
    </row>
    <row r="460">
      <c r="A460" t="inlineStr">
        <is>
          <t>No</t>
        </is>
      </c>
      <c r="B460" t="inlineStr">
        <is>
          <t>CURAL</t>
        </is>
      </c>
      <c r="C460" t="inlineStr">
        <is>
          <t>SHELVES</t>
        </is>
      </c>
      <c r="D460" t="inlineStr">
        <is>
          <t>BL624 .N47 1978</t>
        </is>
      </c>
      <c r="E460" t="inlineStr">
        <is>
          <t>0                      BL 0624000N  47          1978</t>
        </is>
      </c>
      <c r="F460" t="inlineStr">
        <is>
          <t>Soldier, sage, saint / Robert C. Neville.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Neville, Robert C.</t>
        </is>
      </c>
      <c r="N460" t="inlineStr">
        <is>
          <t>New York : Fordham University Press, 1978.</t>
        </is>
      </c>
      <c r="O460" t="inlineStr">
        <is>
          <t>1978</t>
        </is>
      </c>
      <c r="Q460" t="inlineStr">
        <is>
          <t>eng</t>
        </is>
      </c>
      <c r="R460" t="inlineStr">
        <is>
          <t>nyu</t>
        </is>
      </c>
      <c r="T460" t="inlineStr">
        <is>
          <t xml:space="preserve">BL </t>
        </is>
      </c>
      <c r="U460" t="n">
        <v>3</v>
      </c>
      <c r="V460" t="n">
        <v>3</v>
      </c>
      <c r="W460" t="inlineStr">
        <is>
          <t>1997-02-09</t>
        </is>
      </c>
      <c r="X460" t="inlineStr">
        <is>
          <t>1997-02-09</t>
        </is>
      </c>
      <c r="Y460" t="inlineStr">
        <is>
          <t>1990-10-11</t>
        </is>
      </c>
      <c r="Z460" t="inlineStr">
        <is>
          <t>1990-10-11</t>
        </is>
      </c>
      <c r="AA460" t="n">
        <v>426</v>
      </c>
      <c r="AB460" t="n">
        <v>389</v>
      </c>
      <c r="AC460" t="n">
        <v>507</v>
      </c>
      <c r="AD460" t="n">
        <v>3</v>
      </c>
      <c r="AE460" t="n">
        <v>5</v>
      </c>
      <c r="AF460" t="n">
        <v>21</v>
      </c>
      <c r="AG460" t="n">
        <v>24</v>
      </c>
      <c r="AH460" t="n">
        <v>6</v>
      </c>
      <c r="AI460" t="n">
        <v>7</v>
      </c>
      <c r="AJ460" t="n">
        <v>4</v>
      </c>
      <c r="AK460" t="n">
        <v>4</v>
      </c>
      <c r="AL460" t="n">
        <v>15</v>
      </c>
      <c r="AM460" t="n">
        <v>15</v>
      </c>
      <c r="AN460" t="n">
        <v>2</v>
      </c>
      <c r="AO460" t="n">
        <v>4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HYPERLINK("https://creighton-primo.hosted.exlibrisgroup.com/primo-explore/search?tab=default_tab&amp;search_scope=EVERYTHING&amp;vid=01CRU&amp;lang=en_US&amp;offset=0&amp;query=any,contains,991004635049702656","Catalog Record")</f>
        <v/>
      </c>
      <c r="AV460">
        <f>HYPERLINK("http://www.worldcat.org/oclc/4402385","WorldCat Record")</f>
        <v/>
      </c>
      <c r="AW460" t="inlineStr">
        <is>
          <t>488638:eng</t>
        </is>
      </c>
      <c r="AX460" t="inlineStr">
        <is>
          <t>4402385</t>
        </is>
      </c>
      <c r="AY460" t="inlineStr">
        <is>
          <t>991004635049702656</t>
        </is>
      </c>
      <c r="AZ460" t="inlineStr">
        <is>
          <t>991004635049702656</t>
        </is>
      </c>
      <c r="BA460" t="inlineStr">
        <is>
          <t>2259522580002656</t>
        </is>
      </c>
      <c r="BB460" t="inlineStr">
        <is>
          <t>BOOK</t>
        </is>
      </c>
      <c r="BD460" t="inlineStr">
        <is>
          <t>9780823210350</t>
        </is>
      </c>
      <c r="BE460" t="inlineStr">
        <is>
          <t>32285000346402</t>
        </is>
      </c>
      <c r="BF460" t="inlineStr">
        <is>
          <t>893436513</t>
        </is>
      </c>
    </row>
    <row r="461">
      <c r="A461" t="inlineStr">
        <is>
          <t>No</t>
        </is>
      </c>
      <c r="B461" t="inlineStr">
        <is>
          <t>CURAL</t>
        </is>
      </c>
      <c r="C461" t="inlineStr">
        <is>
          <t>SHELVES</t>
        </is>
      </c>
      <c r="D461" t="inlineStr">
        <is>
          <t>BL624 .O29 1986</t>
        </is>
      </c>
      <c r="E461" t="inlineStr">
        <is>
          <t>0                      BL 0624000O  29          1986</t>
        </is>
      </c>
      <c r="F461" t="inlineStr">
        <is>
          <t>An ascent to joy : transforming deadness of spirit / Carol Ochs.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Ochs, Carol.</t>
        </is>
      </c>
      <c r="N461" t="inlineStr">
        <is>
          <t>Notre Dame, Ind. : University of Notre Dame Press, c1986.</t>
        </is>
      </c>
      <c r="O461" t="inlineStr">
        <is>
          <t>1986</t>
        </is>
      </c>
      <c r="Q461" t="inlineStr">
        <is>
          <t>eng</t>
        </is>
      </c>
      <c r="R461" t="inlineStr">
        <is>
          <t>inu</t>
        </is>
      </c>
      <c r="T461" t="inlineStr">
        <is>
          <t xml:space="preserve">BL </t>
        </is>
      </c>
      <c r="U461" t="n">
        <v>1</v>
      </c>
      <c r="V461" t="n">
        <v>1</v>
      </c>
      <c r="W461" t="inlineStr">
        <is>
          <t>1995-07-07</t>
        </is>
      </c>
      <c r="X461" t="inlineStr">
        <is>
          <t>1995-07-07</t>
        </is>
      </c>
      <c r="Y461" t="inlineStr">
        <is>
          <t>1990-10-11</t>
        </is>
      </c>
      <c r="Z461" t="inlineStr">
        <is>
          <t>1990-10-11</t>
        </is>
      </c>
      <c r="AA461" t="n">
        <v>286</v>
      </c>
      <c r="AB461" t="n">
        <v>261</v>
      </c>
      <c r="AC461" t="n">
        <v>280</v>
      </c>
      <c r="AD461" t="n">
        <v>4</v>
      </c>
      <c r="AE461" t="n">
        <v>4</v>
      </c>
      <c r="AF461" t="n">
        <v>18</v>
      </c>
      <c r="AG461" t="n">
        <v>19</v>
      </c>
      <c r="AH461" t="n">
        <v>4</v>
      </c>
      <c r="AI461" t="n">
        <v>5</v>
      </c>
      <c r="AJ461" t="n">
        <v>4</v>
      </c>
      <c r="AK461" t="n">
        <v>4</v>
      </c>
      <c r="AL461" t="n">
        <v>11</v>
      </c>
      <c r="AM461" t="n">
        <v>11</v>
      </c>
      <c r="AN461" t="n">
        <v>3</v>
      </c>
      <c r="AO461" t="n">
        <v>3</v>
      </c>
      <c r="AP461" t="n">
        <v>0</v>
      </c>
      <c r="AQ461" t="n">
        <v>0</v>
      </c>
      <c r="AR461" t="inlineStr">
        <is>
          <t>No</t>
        </is>
      </c>
      <c r="AS461" t="inlineStr">
        <is>
          <t>Yes</t>
        </is>
      </c>
      <c r="AT461">
        <f>HYPERLINK("http://catalog.hathitrust.org/Record/102107318","HathiTrust Record")</f>
        <v/>
      </c>
      <c r="AU461">
        <f>HYPERLINK("https://creighton-primo.hosted.exlibrisgroup.com/primo-explore/search?tab=default_tab&amp;search_scope=EVERYTHING&amp;vid=01CRU&amp;lang=en_US&amp;offset=0&amp;query=any,contains,991000881089702656","Catalog Record")</f>
        <v/>
      </c>
      <c r="AV461">
        <f>HYPERLINK("http://www.worldcat.org/oclc/13827984","WorldCat Record")</f>
        <v/>
      </c>
      <c r="AW461" t="inlineStr">
        <is>
          <t>7471759:eng</t>
        </is>
      </c>
      <c r="AX461" t="inlineStr">
        <is>
          <t>13827984</t>
        </is>
      </c>
      <c r="AY461" t="inlineStr">
        <is>
          <t>991000881089702656</t>
        </is>
      </c>
      <c r="AZ461" t="inlineStr">
        <is>
          <t>991000881089702656</t>
        </is>
      </c>
      <c r="BA461" t="inlineStr">
        <is>
          <t>2267011450002656</t>
        </is>
      </c>
      <c r="BB461" t="inlineStr">
        <is>
          <t>BOOK</t>
        </is>
      </c>
      <c r="BD461" t="inlineStr">
        <is>
          <t>9780268006150</t>
        </is>
      </c>
      <c r="BE461" t="inlineStr">
        <is>
          <t>32285000346410</t>
        </is>
      </c>
      <c r="BF461" t="inlineStr">
        <is>
          <t>893878425</t>
        </is>
      </c>
    </row>
    <row r="462">
      <c r="A462" t="inlineStr">
        <is>
          <t>No</t>
        </is>
      </c>
      <c r="B462" t="inlineStr">
        <is>
          <t>CURAL</t>
        </is>
      </c>
      <c r="C462" t="inlineStr">
        <is>
          <t>SHELVES</t>
        </is>
      </c>
      <c r="D462" t="inlineStr">
        <is>
          <t>BL624 .R64 1985</t>
        </is>
      </c>
      <c r="E462" t="inlineStr">
        <is>
          <t>0                      BL 0624000R  64          1985</t>
        </is>
      </c>
      <c r="F462" t="inlineStr">
        <is>
          <t>Religious inquiry--participation and detachment / Holmes Rolston, III.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Rolston, Holmes, 1932-</t>
        </is>
      </c>
      <c r="N462" t="inlineStr">
        <is>
          <t>New York, N.Y. : Philosophical Library, c1985.</t>
        </is>
      </c>
      <c r="O462" t="inlineStr">
        <is>
          <t>1985</t>
        </is>
      </c>
      <c r="Q462" t="inlineStr">
        <is>
          <t>eng</t>
        </is>
      </c>
      <c r="R462" t="inlineStr">
        <is>
          <t>nyu</t>
        </is>
      </c>
      <c r="T462" t="inlineStr">
        <is>
          <t xml:space="preserve">BL </t>
        </is>
      </c>
      <c r="U462" t="n">
        <v>3</v>
      </c>
      <c r="V462" t="n">
        <v>3</v>
      </c>
      <c r="W462" t="inlineStr">
        <is>
          <t>1998-10-13</t>
        </is>
      </c>
      <c r="X462" t="inlineStr">
        <is>
          <t>1998-10-13</t>
        </is>
      </c>
      <c r="Y462" t="inlineStr">
        <is>
          <t>1990-10-11</t>
        </is>
      </c>
      <c r="Z462" t="inlineStr">
        <is>
          <t>1990-10-11</t>
        </is>
      </c>
      <c r="AA462" t="n">
        <v>343</v>
      </c>
      <c r="AB462" t="n">
        <v>305</v>
      </c>
      <c r="AC462" t="n">
        <v>312</v>
      </c>
      <c r="AD462" t="n">
        <v>1</v>
      </c>
      <c r="AE462" t="n">
        <v>1</v>
      </c>
      <c r="AF462" t="n">
        <v>16</v>
      </c>
      <c r="AG462" t="n">
        <v>16</v>
      </c>
      <c r="AH462" t="n">
        <v>7</v>
      </c>
      <c r="AI462" t="n">
        <v>7</v>
      </c>
      <c r="AJ462" t="n">
        <v>3</v>
      </c>
      <c r="AK462" t="n">
        <v>3</v>
      </c>
      <c r="AL462" t="n">
        <v>11</v>
      </c>
      <c r="AM462" t="n">
        <v>11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HYPERLINK("http://catalog.hathitrust.org/Record/009490516","HathiTrust Record")</f>
        <v/>
      </c>
      <c r="AU462">
        <f>HYPERLINK("https://creighton-primo.hosted.exlibrisgroup.com/primo-explore/search?tab=default_tab&amp;search_scope=EVERYTHING&amp;vid=01CRU&amp;lang=en_US&amp;offset=0&amp;query=any,contains,991000336189702656","Catalog Record")</f>
        <v/>
      </c>
      <c r="AV462">
        <f>HYPERLINK("http://www.worldcat.org/oclc/10229934","WorldCat Record")</f>
        <v/>
      </c>
      <c r="AW462" t="inlineStr">
        <is>
          <t>3317559:eng</t>
        </is>
      </c>
      <c r="AX462" t="inlineStr">
        <is>
          <t>10229934</t>
        </is>
      </c>
      <c r="AY462" t="inlineStr">
        <is>
          <t>991000336189702656</t>
        </is>
      </c>
      <c r="AZ462" t="inlineStr">
        <is>
          <t>991000336189702656</t>
        </is>
      </c>
      <c r="BA462" t="inlineStr">
        <is>
          <t>2262246400002656</t>
        </is>
      </c>
      <c r="BB462" t="inlineStr">
        <is>
          <t>BOOK</t>
        </is>
      </c>
      <c r="BD462" t="inlineStr">
        <is>
          <t>9780802224507</t>
        </is>
      </c>
      <c r="BE462" t="inlineStr">
        <is>
          <t>32285000346428</t>
        </is>
      </c>
      <c r="BF462" t="inlineStr">
        <is>
          <t>893790422</t>
        </is>
      </c>
    </row>
    <row r="463">
      <c r="A463" t="inlineStr">
        <is>
          <t>No</t>
        </is>
      </c>
      <c r="B463" t="inlineStr">
        <is>
          <t>CURAL</t>
        </is>
      </c>
      <c r="C463" t="inlineStr">
        <is>
          <t>SHELVES</t>
        </is>
      </c>
      <c r="D463" t="inlineStr">
        <is>
          <t>BL624 .S534</t>
        </is>
      </c>
      <c r="E463" t="inlineStr">
        <is>
          <t>0                      BL 0624000S  534</t>
        </is>
      </c>
      <c r="F463" t="inlineStr">
        <is>
          <t>The warrior : brief studies in the sources of spiritual mastery, sport, and military power / Joe Simmons.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Simmons, Joe.</t>
        </is>
      </c>
      <c r="N463" t="inlineStr">
        <is>
          <t>Washington, D.C. : University Press of America, c1982.</t>
        </is>
      </c>
      <c r="O463" t="inlineStr">
        <is>
          <t>1982</t>
        </is>
      </c>
      <c r="Q463" t="inlineStr">
        <is>
          <t>eng</t>
        </is>
      </c>
      <c r="R463" t="inlineStr">
        <is>
          <t>dcu</t>
        </is>
      </c>
      <c r="T463" t="inlineStr">
        <is>
          <t xml:space="preserve">BL </t>
        </is>
      </c>
      <c r="U463" t="n">
        <v>2</v>
      </c>
      <c r="V463" t="n">
        <v>2</v>
      </c>
      <c r="W463" t="inlineStr">
        <is>
          <t>1996-07-05</t>
        </is>
      </c>
      <c r="X463" t="inlineStr">
        <is>
          <t>1996-07-05</t>
        </is>
      </c>
      <c r="Y463" t="inlineStr">
        <is>
          <t>1990-03-21</t>
        </is>
      </c>
      <c r="Z463" t="inlineStr">
        <is>
          <t>1990-03-21</t>
        </is>
      </c>
      <c r="AA463" t="n">
        <v>93</v>
      </c>
      <c r="AB463" t="n">
        <v>80</v>
      </c>
      <c r="AC463" t="n">
        <v>80</v>
      </c>
      <c r="AD463" t="n">
        <v>2</v>
      </c>
      <c r="AE463" t="n">
        <v>2</v>
      </c>
      <c r="AF463" t="n">
        <v>5</v>
      </c>
      <c r="AG463" t="n">
        <v>5</v>
      </c>
      <c r="AH463" t="n">
        <v>1</v>
      </c>
      <c r="AI463" t="n">
        <v>1</v>
      </c>
      <c r="AJ463" t="n">
        <v>1</v>
      </c>
      <c r="AK463" t="n">
        <v>1</v>
      </c>
      <c r="AL463" t="n">
        <v>3</v>
      </c>
      <c r="AM463" t="n">
        <v>3</v>
      </c>
      <c r="AN463" t="n">
        <v>1</v>
      </c>
      <c r="AO463" t="n">
        <v>1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HYPERLINK("https://creighton-primo.hosted.exlibrisgroup.com/primo-explore/search?tab=default_tab&amp;search_scope=EVERYTHING&amp;vid=01CRU&amp;lang=en_US&amp;offset=0&amp;query=any,contains,991005215989702656","Catalog Record")</f>
        <v/>
      </c>
      <c r="AV463">
        <f>HYPERLINK("http://www.worldcat.org/oclc/8194349","WorldCat Record")</f>
        <v/>
      </c>
      <c r="AW463" t="inlineStr">
        <is>
          <t>483496:eng</t>
        </is>
      </c>
      <c r="AX463" t="inlineStr">
        <is>
          <t>8194349</t>
        </is>
      </c>
      <c r="AY463" t="inlineStr">
        <is>
          <t>991005215989702656</t>
        </is>
      </c>
      <c r="AZ463" t="inlineStr">
        <is>
          <t>991005215989702656</t>
        </is>
      </c>
      <c r="BA463" t="inlineStr">
        <is>
          <t>2268578000002656</t>
        </is>
      </c>
      <c r="BB463" t="inlineStr">
        <is>
          <t>BOOK</t>
        </is>
      </c>
      <c r="BD463" t="inlineStr">
        <is>
          <t>9780819122933</t>
        </is>
      </c>
      <c r="BE463" t="inlineStr">
        <is>
          <t>32285000088814</t>
        </is>
      </c>
      <c r="BF463" t="inlineStr">
        <is>
          <t>893260738</t>
        </is>
      </c>
    </row>
    <row r="464">
      <c r="A464" t="inlineStr">
        <is>
          <t>No</t>
        </is>
      </c>
      <c r="B464" t="inlineStr">
        <is>
          <t>CURAL</t>
        </is>
      </c>
      <c r="C464" t="inlineStr">
        <is>
          <t>SHELVES</t>
        </is>
      </c>
      <c r="D464" t="inlineStr">
        <is>
          <t>BL624 .W65 1986</t>
        </is>
      </c>
      <c r="E464" t="inlineStr">
        <is>
          <t>0                      BL 0624000W  65          1986</t>
        </is>
      </c>
      <c r="F464" t="inlineStr">
        <is>
          <t>No other light : points of convergence in psychology and spirituality / Mary Wolff-Salin.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Wolff-Salin, Mary.</t>
        </is>
      </c>
      <c r="N464" t="inlineStr">
        <is>
          <t>New York : Crossroad, 1986.</t>
        </is>
      </c>
      <c r="O464" t="inlineStr">
        <is>
          <t>1986</t>
        </is>
      </c>
      <c r="Q464" t="inlineStr">
        <is>
          <t>eng</t>
        </is>
      </c>
      <c r="R464" t="inlineStr">
        <is>
          <t>nyu</t>
        </is>
      </c>
      <c r="T464" t="inlineStr">
        <is>
          <t xml:space="preserve">BL </t>
        </is>
      </c>
      <c r="U464" t="n">
        <v>3</v>
      </c>
      <c r="V464" t="n">
        <v>3</v>
      </c>
      <c r="W464" t="inlineStr">
        <is>
          <t>2002-06-24</t>
        </is>
      </c>
      <c r="X464" t="inlineStr">
        <is>
          <t>2002-06-24</t>
        </is>
      </c>
      <c r="Y464" t="inlineStr">
        <is>
          <t>1990-08-02</t>
        </is>
      </c>
      <c r="Z464" t="inlineStr">
        <is>
          <t>1990-08-02</t>
        </is>
      </c>
      <c r="AA464" t="n">
        <v>398</v>
      </c>
      <c r="AB464" t="n">
        <v>367</v>
      </c>
      <c r="AC464" t="n">
        <v>395</v>
      </c>
      <c r="AD464" t="n">
        <v>4</v>
      </c>
      <c r="AE464" t="n">
        <v>5</v>
      </c>
      <c r="AF464" t="n">
        <v>22</v>
      </c>
      <c r="AG464" t="n">
        <v>23</v>
      </c>
      <c r="AH464" t="n">
        <v>9</v>
      </c>
      <c r="AI464" t="n">
        <v>9</v>
      </c>
      <c r="AJ464" t="n">
        <v>3</v>
      </c>
      <c r="AK464" t="n">
        <v>3</v>
      </c>
      <c r="AL464" t="n">
        <v>15</v>
      </c>
      <c r="AM464" t="n">
        <v>15</v>
      </c>
      <c r="AN464" t="n">
        <v>3</v>
      </c>
      <c r="AO464" t="n">
        <v>4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HYPERLINK("http://catalog.hathitrust.org/Record/000557072","HathiTrust Record")</f>
        <v/>
      </c>
      <c r="AU464">
        <f>HYPERLINK("https://creighton-primo.hosted.exlibrisgroup.com/primo-explore/search?tab=default_tab&amp;search_scope=EVERYTHING&amp;vid=01CRU&amp;lang=en_US&amp;offset=0&amp;query=any,contains,991000758949702656","Catalog Record")</f>
        <v/>
      </c>
      <c r="AV464">
        <f>HYPERLINK("http://www.worldcat.org/oclc/12970327","WorldCat Record")</f>
        <v/>
      </c>
      <c r="AW464" t="inlineStr">
        <is>
          <t>5572540:eng</t>
        </is>
      </c>
      <c r="AX464" t="inlineStr">
        <is>
          <t>12970327</t>
        </is>
      </c>
      <c r="AY464" t="inlineStr">
        <is>
          <t>991000758949702656</t>
        </is>
      </c>
      <c r="AZ464" t="inlineStr">
        <is>
          <t>991000758949702656</t>
        </is>
      </c>
      <c r="BA464" t="inlineStr">
        <is>
          <t>2265422190002656</t>
        </is>
      </c>
      <c r="BB464" t="inlineStr">
        <is>
          <t>BOOK</t>
        </is>
      </c>
      <c r="BD464" t="inlineStr">
        <is>
          <t>9780824507480</t>
        </is>
      </c>
      <c r="BE464" t="inlineStr">
        <is>
          <t>32285000262955</t>
        </is>
      </c>
      <c r="BF464" t="inlineStr">
        <is>
          <t>893509084</t>
        </is>
      </c>
    </row>
    <row r="465">
      <c r="A465" t="inlineStr">
        <is>
          <t>No</t>
        </is>
      </c>
      <c r="B465" t="inlineStr">
        <is>
          <t>CURAL</t>
        </is>
      </c>
      <c r="C465" t="inlineStr">
        <is>
          <t>SHELVES</t>
        </is>
      </c>
      <c r="D465" t="inlineStr">
        <is>
          <t>BL625 .B68</t>
        </is>
      </c>
      <c r="E465" t="inlineStr">
        <is>
          <t>0                      BL 0625000B  68</t>
        </is>
      </c>
      <c r="F465" t="inlineStr">
        <is>
          <t>Western mysticism : a guide to the basic works / compiled by Mary Ann Bowman. --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Bowman, Mary Ann.</t>
        </is>
      </c>
      <c r="N465" t="inlineStr">
        <is>
          <t>Chicago, Ill. : American Library Association, c1978.</t>
        </is>
      </c>
      <c r="O465" t="inlineStr">
        <is>
          <t>1978</t>
        </is>
      </c>
      <c r="Q465" t="inlineStr">
        <is>
          <t>eng</t>
        </is>
      </c>
      <c r="R465" t="inlineStr">
        <is>
          <t>ilu</t>
        </is>
      </c>
      <c r="T465" t="inlineStr">
        <is>
          <t xml:space="preserve">BL </t>
        </is>
      </c>
      <c r="U465" t="n">
        <v>1</v>
      </c>
      <c r="V465" t="n">
        <v>1</v>
      </c>
      <c r="W465" t="inlineStr">
        <is>
          <t>1999-01-25</t>
        </is>
      </c>
      <c r="X465" t="inlineStr">
        <is>
          <t>1999-01-25</t>
        </is>
      </c>
      <c r="Y465" t="inlineStr">
        <is>
          <t>1996-12-30</t>
        </is>
      </c>
      <c r="Z465" t="inlineStr">
        <is>
          <t>1996-12-30</t>
        </is>
      </c>
      <c r="AA465" t="n">
        <v>672</v>
      </c>
      <c r="AB465" t="n">
        <v>585</v>
      </c>
      <c r="AC465" t="n">
        <v>588</v>
      </c>
      <c r="AD465" t="n">
        <v>4</v>
      </c>
      <c r="AE465" t="n">
        <v>4</v>
      </c>
      <c r="AF465" t="n">
        <v>30</v>
      </c>
      <c r="AG465" t="n">
        <v>30</v>
      </c>
      <c r="AH465" t="n">
        <v>13</v>
      </c>
      <c r="AI465" t="n">
        <v>13</v>
      </c>
      <c r="AJ465" t="n">
        <v>5</v>
      </c>
      <c r="AK465" t="n">
        <v>5</v>
      </c>
      <c r="AL465" t="n">
        <v>17</v>
      </c>
      <c r="AM465" t="n">
        <v>17</v>
      </c>
      <c r="AN465" t="n">
        <v>3</v>
      </c>
      <c r="AO465" t="n">
        <v>3</v>
      </c>
      <c r="AP465" t="n">
        <v>0</v>
      </c>
      <c r="AQ465" t="n">
        <v>0</v>
      </c>
      <c r="AR465" t="inlineStr">
        <is>
          <t>No</t>
        </is>
      </c>
      <c r="AS465" t="inlineStr">
        <is>
          <t>Yes</t>
        </is>
      </c>
      <c r="AT465">
        <f>HYPERLINK("http://catalog.hathitrust.org/Record/000176365","HathiTrust Record")</f>
        <v/>
      </c>
      <c r="AU465">
        <f>HYPERLINK("https://creighton-primo.hosted.exlibrisgroup.com/primo-explore/search?tab=default_tab&amp;search_scope=EVERYTHING&amp;vid=01CRU&amp;lang=en_US&amp;offset=0&amp;query=any,contains,991004561649702656","Catalog Record")</f>
        <v/>
      </c>
      <c r="AV465">
        <f>HYPERLINK("http://www.worldcat.org/oclc/4003421","WorldCat Record")</f>
        <v/>
      </c>
      <c r="AW465" t="inlineStr">
        <is>
          <t>503833:eng</t>
        </is>
      </c>
      <c r="AX465" t="inlineStr">
        <is>
          <t>4003421</t>
        </is>
      </c>
      <c r="AY465" t="inlineStr">
        <is>
          <t>991004561649702656</t>
        </is>
      </c>
      <c r="AZ465" t="inlineStr">
        <is>
          <t>991004561649702656</t>
        </is>
      </c>
      <c r="BA465" t="inlineStr">
        <is>
          <t>2267628380002656</t>
        </is>
      </c>
      <c r="BB465" t="inlineStr">
        <is>
          <t>BOOK</t>
        </is>
      </c>
      <c r="BD465" t="inlineStr">
        <is>
          <t>9780838902660</t>
        </is>
      </c>
      <c r="BE465" t="inlineStr">
        <is>
          <t>32285002402674</t>
        </is>
      </c>
      <c r="BF465" t="inlineStr">
        <is>
          <t>893618819</t>
        </is>
      </c>
    </row>
    <row r="466">
      <c r="A466" t="inlineStr">
        <is>
          <t>No</t>
        </is>
      </c>
      <c r="B466" t="inlineStr">
        <is>
          <t>CURAL</t>
        </is>
      </c>
      <c r="C466" t="inlineStr">
        <is>
          <t>SHELVES</t>
        </is>
      </c>
      <c r="D466" t="inlineStr">
        <is>
          <t>BL625 .B7 1970</t>
        </is>
      </c>
      <c r="E466" t="inlineStr">
        <is>
          <t>0                      BL 0625000B  7           1970</t>
        </is>
      </c>
      <c r="F466" t="inlineStr">
        <is>
          <t>American mysticism, from William James to Zen [by] Hal Bridges.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Bridges, Hal, 1918-2010.</t>
        </is>
      </c>
      <c r="N466" t="inlineStr">
        <is>
          <t>New York, Harper &amp; Row [1970].</t>
        </is>
      </c>
      <c r="O466" t="inlineStr">
        <is>
          <t>1970</t>
        </is>
      </c>
      <c r="P466" t="inlineStr">
        <is>
          <t>[1st ed.]</t>
        </is>
      </c>
      <c r="Q466" t="inlineStr">
        <is>
          <t>eng</t>
        </is>
      </c>
      <c r="R466" t="inlineStr">
        <is>
          <t>nyu</t>
        </is>
      </c>
      <c r="T466" t="inlineStr">
        <is>
          <t xml:space="preserve">BL </t>
        </is>
      </c>
      <c r="U466" t="n">
        <v>4</v>
      </c>
      <c r="V466" t="n">
        <v>4</v>
      </c>
      <c r="W466" t="inlineStr">
        <is>
          <t>1995-03-19</t>
        </is>
      </c>
      <c r="X466" t="inlineStr">
        <is>
          <t>1995-03-19</t>
        </is>
      </c>
      <c r="Y466" t="inlineStr">
        <is>
          <t>1990-10-11</t>
        </is>
      </c>
      <c r="Z466" t="inlineStr">
        <is>
          <t>1990-10-11</t>
        </is>
      </c>
      <c r="AA466" t="n">
        <v>833</v>
      </c>
      <c r="AB466" t="n">
        <v>775</v>
      </c>
      <c r="AC466" t="n">
        <v>805</v>
      </c>
      <c r="AD466" t="n">
        <v>2</v>
      </c>
      <c r="AE466" t="n">
        <v>2</v>
      </c>
      <c r="AF466" t="n">
        <v>30</v>
      </c>
      <c r="AG466" t="n">
        <v>32</v>
      </c>
      <c r="AH466" t="n">
        <v>11</v>
      </c>
      <c r="AI466" t="n">
        <v>12</v>
      </c>
      <c r="AJ466" t="n">
        <v>9</v>
      </c>
      <c r="AK466" t="n">
        <v>9</v>
      </c>
      <c r="AL466" t="n">
        <v>19</v>
      </c>
      <c r="AM466" t="n">
        <v>20</v>
      </c>
      <c r="AN466" t="n">
        <v>1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HYPERLINK("http://catalog.hathitrust.org/Record/001392366","HathiTrust Record")</f>
        <v/>
      </c>
      <c r="AU466">
        <f>HYPERLINK("https://creighton-primo.hosted.exlibrisgroup.com/primo-explore/search?tab=default_tab&amp;search_scope=EVERYTHING&amp;vid=01CRU&amp;lang=en_US&amp;offset=0&amp;query=any,contains,991000529999702656","Catalog Record")</f>
        <v/>
      </c>
      <c r="AV466">
        <f>HYPERLINK("http://www.worldcat.org/oclc/89470","WorldCat Record")</f>
        <v/>
      </c>
      <c r="AW466" t="inlineStr">
        <is>
          <t>1293667:eng</t>
        </is>
      </c>
      <c r="AX466" t="inlineStr">
        <is>
          <t>89470</t>
        </is>
      </c>
      <c r="AY466" t="inlineStr">
        <is>
          <t>991000529999702656</t>
        </is>
      </c>
      <c r="AZ466" t="inlineStr">
        <is>
          <t>991000529999702656</t>
        </is>
      </c>
      <c r="BA466" t="inlineStr">
        <is>
          <t>2258912030002656</t>
        </is>
      </c>
      <c r="BB466" t="inlineStr">
        <is>
          <t>BOOK</t>
        </is>
      </c>
      <c r="BE466" t="inlineStr">
        <is>
          <t>32285000346451</t>
        </is>
      </c>
      <c r="BF466" t="inlineStr">
        <is>
          <t>893714666</t>
        </is>
      </c>
    </row>
    <row r="467">
      <c r="A467" t="inlineStr">
        <is>
          <t>No</t>
        </is>
      </c>
      <c r="B467" t="inlineStr">
        <is>
          <t>CURAL</t>
        </is>
      </c>
      <c r="C467" t="inlineStr">
        <is>
          <t>SHELVES</t>
        </is>
      </c>
      <c r="D467" t="inlineStr">
        <is>
          <t>BL625 .E3913 1985</t>
        </is>
      </c>
      <c r="E467" t="inlineStr">
        <is>
          <t>0                      BL 0625000E  3913        1985</t>
        </is>
      </c>
      <c r="F467" t="inlineStr">
        <is>
          <t>Ecstatic confessions / collected and introduced by Martin Buber ; edited by Paul Mendes-Flohr ; translated by Esther Cameron.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M467" t="inlineStr">
        <is>
          <t>Ekstatische Konfessionen. English.</t>
        </is>
      </c>
      <c r="N467" t="inlineStr">
        <is>
          <t>San Francisco : Harper &amp; Row, c1985.</t>
        </is>
      </c>
      <c r="O467" t="inlineStr">
        <is>
          <t>1985</t>
        </is>
      </c>
      <c r="P467" t="inlineStr">
        <is>
          <t>1st ed.</t>
        </is>
      </c>
      <c r="Q467" t="inlineStr">
        <is>
          <t>eng</t>
        </is>
      </c>
      <c r="R467" t="inlineStr">
        <is>
          <t>cau</t>
        </is>
      </c>
      <c r="T467" t="inlineStr">
        <is>
          <t xml:space="preserve">BL </t>
        </is>
      </c>
      <c r="U467" t="n">
        <v>2</v>
      </c>
      <c r="V467" t="n">
        <v>2</v>
      </c>
      <c r="W467" t="inlineStr">
        <is>
          <t>1994-10-17</t>
        </is>
      </c>
      <c r="X467" t="inlineStr">
        <is>
          <t>1994-10-17</t>
        </is>
      </c>
      <c r="Y467" t="inlineStr">
        <is>
          <t>1990-07-16</t>
        </is>
      </c>
      <c r="Z467" t="inlineStr">
        <is>
          <t>1990-07-16</t>
        </is>
      </c>
      <c r="AA467" t="n">
        <v>573</v>
      </c>
      <c r="AB467" t="n">
        <v>524</v>
      </c>
      <c r="AC467" t="n">
        <v>579</v>
      </c>
      <c r="AD467" t="n">
        <v>4</v>
      </c>
      <c r="AE467" t="n">
        <v>4</v>
      </c>
      <c r="AF467" t="n">
        <v>24</v>
      </c>
      <c r="AG467" t="n">
        <v>28</v>
      </c>
      <c r="AH467" t="n">
        <v>9</v>
      </c>
      <c r="AI467" t="n">
        <v>12</v>
      </c>
      <c r="AJ467" t="n">
        <v>5</v>
      </c>
      <c r="AK467" t="n">
        <v>6</v>
      </c>
      <c r="AL467" t="n">
        <v>15</v>
      </c>
      <c r="AM467" t="n">
        <v>15</v>
      </c>
      <c r="AN467" t="n">
        <v>3</v>
      </c>
      <c r="AO467" t="n">
        <v>3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HYPERLINK("http://catalog.hathitrust.org/Record/000574975","HathiTrust Record")</f>
        <v/>
      </c>
      <c r="AU467">
        <f>HYPERLINK("https://creighton-primo.hosted.exlibrisgroup.com/primo-explore/search?tab=default_tab&amp;search_scope=EVERYTHING&amp;vid=01CRU&amp;lang=en_US&amp;offset=0&amp;query=any,contains,991000618279702656","Catalog Record")</f>
        <v/>
      </c>
      <c r="AV467">
        <f>HYPERLINK("http://www.worldcat.org/oclc/11969974","WorldCat Record")</f>
        <v/>
      </c>
      <c r="AW467" t="inlineStr">
        <is>
          <t>1431145:eng</t>
        </is>
      </c>
      <c r="AX467" t="inlineStr">
        <is>
          <t>11969974</t>
        </is>
      </c>
      <c r="AY467" t="inlineStr">
        <is>
          <t>991000618279702656</t>
        </is>
      </c>
      <c r="AZ467" t="inlineStr">
        <is>
          <t>991000618279702656</t>
        </is>
      </c>
      <c r="BA467" t="inlineStr">
        <is>
          <t>2260663030002656</t>
        </is>
      </c>
      <c r="BB467" t="inlineStr">
        <is>
          <t>BOOK</t>
        </is>
      </c>
      <c r="BD467" t="inlineStr">
        <is>
          <t>9780060611545</t>
        </is>
      </c>
      <c r="BE467" t="inlineStr">
        <is>
          <t>32285000208446</t>
        </is>
      </c>
      <c r="BF467" t="inlineStr">
        <is>
          <t>893608110</t>
        </is>
      </c>
    </row>
    <row r="468">
      <c r="A468" t="inlineStr">
        <is>
          <t>No</t>
        </is>
      </c>
      <c r="B468" t="inlineStr">
        <is>
          <t>CURAL</t>
        </is>
      </c>
      <c r="C468" t="inlineStr">
        <is>
          <t>SHELVES</t>
        </is>
      </c>
      <c r="D468" t="inlineStr">
        <is>
          <t>BL625 .F87</t>
        </is>
      </c>
      <c r="E468" t="inlineStr">
        <is>
          <t>0                      BL 0625000F  87</t>
        </is>
      </c>
      <c r="F468" t="inlineStr">
        <is>
          <t>Mysticism, window on a world view / Margaret Lewis Furse.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Furse, Margaret Lewis.</t>
        </is>
      </c>
      <c r="N468" t="inlineStr">
        <is>
          <t>Nashville : Abingdon Press, c1977.</t>
        </is>
      </c>
      <c r="O468" t="inlineStr">
        <is>
          <t>1977</t>
        </is>
      </c>
      <c r="Q468" t="inlineStr">
        <is>
          <t>eng</t>
        </is>
      </c>
      <c r="R468" t="inlineStr">
        <is>
          <t>tnu</t>
        </is>
      </c>
      <c r="T468" t="inlineStr">
        <is>
          <t xml:space="preserve">BL </t>
        </is>
      </c>
      <c r="U468" t="n">
        <v>2</v>
      </c>
      <c r="V468" t="n">
        <v>2</v>
      </c>
      <c r="W468" t="inlineStr">
        <is>
          <t>1992-06-13</t>
        </is>
      </c>
      <c r="X468" t="inlineStr">
        <is>
          <t>1992-06-13</t>
        </is>
      </c>
      <c r="Y468" t="inlineStr">
        <is>
          <t>1991-07-12</t>
        </is>
      </c>
      <c r="Z468" t="inlineStr">
        <is>
          <t>1991-07-12</t>
        </is>
      </c>
      <c r="AA468" t="n">
        <v>485</v>
      </c>
      <c r="AB468" t="n">
        <v>433</v>
      </c>
      <c r="AC468" t="n">
        <v>435</v>
      </c>
      <c r="AD468" t="n">
        <v>3</v>
      </c>
      <c r="AE468" t="n">
        <v>3</v>
      </c>
      <c r="AF468" t="n">
        <v>24</v>
      </c>
      <c r="AG468" t="n">
        <v>24</v>
      </c>
      <c r="AH468" t="n">
        <v>12</v>
      </c>
      <c r="AI468" t="n">
        <v>12</v>
      </c>
      <c r="AJ468" t="n">
        <v>4</v>
      </c>
      <c r="AK468" t="n">
        <v>4</v>
      </c>
      <c r="AL468" t="n">
        <v>11</v>
      </c>
      <c r="AM468" t="n">
        <v>11</v>
      </c>
      <c r="AN468" t="n">
        <v>2</v>
      </c>
      <c r="AO468" t="n">
        <v>2</v>
      </c>
      <c r="AP468" t="n">
        <v>0</v>
      </c>
      <c r="AQ468" t="n">
        <v>0</v>
      </c>
      <c r="AR468" t="inlineStr">
        <is>
          <t>No</t>
        </is>
      </c>
      <c r="AS468" t="inlineStr">
        <is>
          <t>Yes</t>
        </is>
      </c>
      <c r="AT468">
        <f>HYPERLINK("http://catalog.hathitrust.org/Record/000130177","HathiTrust Record")</f>
        <v/>
      </c>
      <c r="AU468">
        <f>HYPERLINK("https://creighton-primo.hosted.exlibrisgroup.com/primo-explore/search?tab=default_tab&amp;search_scope=EVERYTHING&amp;vid=01CRU&amp;lang=en_US&amp;offset=0&amp;query=any,contains,991004198909702656","Catalog Record")</f>
        <v/>
      </c>
      <c r="AV468">
        <f>HYPERLINK("http://www.worldcat.org/oclc/2646284","WorldCat Record")</f>
        <v/>
      </c>
      <c r="AW468" t="inlineStr">
        <is>
          <t>5910237:eng</t>
        </is>
      </c>
      <c r="AX468" t="inlineStr">
        <is>
          <t>2646284</t>
        </is>
      </c>
      <c r="AY468" t="inlineStr">
        <is>
          <t>991004198909702656</t>
        </is>
      </c>
      <c r="AZ468" t="inlineStr">
        <is>
          <t>991004198909702656</t>
        </is>
      </c>
      <c r="BA468" t="inlineStr">
        <is>
          <t>2254985120002656</t>
        </is>
      </c>
      <c r="BB468" t="inlineStr">
        <is>
          <t>BOOK</t>
        </is>
      </c>
      <c r="BD468" t="inlineStr">
        <is>
          <t>9780687276745</t>
        </is>
      </c>
      <c r="BE468" t="inlineStr">
        <is>
          <t>32285000639129</t>
        </is>
      </c>
      <c r="BF468" t="inlineStr">
        <is>
          <t>893532110</t>
        </is>
      </c>
    </row>
    <row r="469">
      <c r="A469" t="inlineStr">
        <is>
          <t>No</t>
        </is>
      </c>
      <c r="B469" t="inlineStr">
        <is>
          <t>CURAL</t>
        </is>
      </c>
      <c r="C469" t="inlineStr">
        <is>
          <t>SHELVES</t>
        </is>
      </c>
      <c r="D469" t="inlineStr">
        <is>
          <t>BL625 .G35 1998</t>
        </is>
      </c>
      <c r="E469" t="inlineStr">
        <is>
          <t>0                      BL 0625000G  35          1998</t>
        </is>
      </c>
      <c r="F469" t="inlineStr">
        <is>
          <t>A mystical heart : 52 weeks in the presence of God / Edwina Gateley ; with illustrations by the author.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Gateley, Edwina.</t>
        </is>
      </c>
      <c r="N469" t="inlineStr">
        <is>
          <t>New York : Crossroad Pub., c1998.</t>
        </is>
      </c>
      <c r="O469" t="inlineStr">
        <is>
          <t>1998</t>
        </is>
      </c>
      <c r="Q469" t="inlineStr">
        <is>
          <t>eng</t>
        </is>
      </c>
      <c r="R469" t="inlineStr">
        <is>
          <t>nyu</t>
        </is>
      </c>
      <c r="T469" t="inlineStr">
        <is>
          <t xml:space="preserve">BL </t>
        </is>
      </c>
      <c r="U469" t="n">
        <v>1</v>
      </c>
      <c r="V469" t="n">
        <v>1</v>
      </c>
      <c r="W469" t="inlineStr">
        <is>
          <t>2002-08-13</t>
        </is>
      </c>
      <c r="X469" t="inlineStr">
        <is>
          <t>2002-08-13</t>
        </is>
      </c>
      <c r="Y469" t="inlineStr">
        <is>
          <t>2002-08-13</t>
        </is>
      </c>
      <c r="Z469" t="inlineStr">
        <is>
          <t>2002-08-13</t>
        </is>
      </c>
      <c r="AA469" t="n">
        <v>48</v>
      </c>
      <c r="AB469" t="n">
        <v>42</v>
      </c>
      <c r="AC469" t="n">
        <v>42</v>
      </c>
      <c r="AD469" t="n">
        <v>2</v>
      </c>
      <c r="AE469" t="n">
        <v>2</v>
      </c>
      <c r="AF469" t="n">
        <v>8</v>
      </c>
      <c r="AG469" t="n">
        <v>8</v>
      </c>
      <c r="AH469" t="n">
        <v>0</v>
      </c>
      <c r="AI469" t="n">
        <v>0</v>
      </c>
      <c r="AJ469" t="n">
        <v>3</v>
      </c>
      <c r="AK469" t="n">
        <v>3</v>
      </c>
      <c r="AL469" t="n">
        <v>5</v>
      </c>
      <c r="AM469" t="n">
        <v>5</v>
      </c>
      <c r="AN469" t="n">
        <v>1</v>
      </c>
      <c r="AO469" t="n">
        <v>1</v>
      </c>
      <c r="AP469" t="n">
        <v>0</v>
      </c>
      <c r="AQ469" t="n">
        <v>0</v>
      </c>
      <c r="AR469" t="inlineStr">
        <is>
          <t>No</t>
        </is>
      </c>
      <c r="AS469" t="inlineStr">
        <is>
          <t>No</t>
        </is>
      </c>
      <c r="AU469">
        <f>HYPERLINK("https://creighton-primo.hosted.exlibrisgroup.com/primo-explore/search?tab=default_tab&amp;search_scope=EVERYTHING&amp;vid=01CRU&amp;lang=en_US&amp;offset=0&amp;query=any,contains,991003856079702656","Catalog Record")</f>
        <v/>
      </c>
      <c r="AV469">
        <f>HYPERLINK("http://www.worldcat.org/oclc/39169957","WorldCat Record")</f>
        <v/>
      </c>
      <c r="AW469" t="inlineStr">
        <is>
          <t>14473420:eng</t>
        </is>
      </c>
      <c r="AX469" t="inlineStr">
        <is>
          <t>39169957</t>
        </is>
      </c>
      <c r="AY469" t="inlineStr">
        <is>
          <t>991003856079702656</t>
        </is>
      </c>
      <c r="AZ469" t="inlineStr">
        <is>
          <t>991003856079702656</t>
        </is>
      </c>
      <c r="BA469" t="inlineStr">
        <is>
          <t>2265982060002656</t>
        </is>
      </c>
      <c r="BB469" t="inlineStr">
        <is>
          <t>BOOK</t>
        </is>
      </c>
      <c r="BD469" t="inlineStr">
        <is>
          <t>9780824517649</t>
        </is>
      </c>
      <c r="BE469" t="inlineStr">
        <is>
          <t>32285004642491</t>
        </is>
      </c>
      <c r="BF469" t="inlineStr">
        <is>
          <t>893441845</t>
        </is>
      </c>
    </row>
    <row r="470">
      <c r="A470" t="inlineStr">
        <is>
          <t>No</t>
        </is>
      </c>
      <c r="B470" t="inlineStr">
        <is>
          <t>CURAL</t>
        </is>
      </c>
      <c r="C470" t="inlineStr">
        <is>
          <t>SHELVES</t>
        </is>
      </c>
      <c r="D470" t="inlineStr">
        <is>
          <t>BL625 .J62</t>
        </is>
      </c>
      <c r="E470" t="inlineStr">
        <is>
          <t>0                      BL 0625000J  62</t>
        </is>
      </c>
      <c r="F470" t="inlineStr">
        <is>
          <t>The inner eye of love : mysticism and religion / William Johnston.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Johnston, William, 1924-2010.</t>
        </is>
      </c>
      <c r="N470" t="inlineStr">
        <is>
          <t>San Francisco : Harper &amp; Row, [1978]</t>
        </is>
      </c>
      <c r="O470" t="inlineStr">
        <is>
          <t>1978</t>
        </is>
      </c>
      <c r="Q470" t="inlineStr">
        <is>
          <t>eng</t>
        </is>
      </c>
      <c r="R470" t="inlineStr">
        <is>
          <t>cau</t>
        </is>
      </c>
      <c r="T470" t="inlineStr">
        <is>
          <t xml:space="preserve">BL </t>
        </is>
      </c>
      <c r="U470" t="n">
        <v>2</v>
      </c>
      <c r="V470" t="n">
        <v>2</v>
      </c>
      <c r="W470" t="inlineStr">
        <is>
          <t>1992-07-16</t>
        </is>
      </c>
      <c r="X470" t="inlineStr">
        <is>
          <t>1992-07-16</t>
        </is>
      </c>
      <c r="Y470" t="inlineStr">
        <is>
          <t>1990-10-12</t>
        </is>
      </c>
      <c r="Z470" t="inlineStr">
        <is>
          <t>1990-10-12</t>
        </is>
      </c>
      <c r="AA470" t="n">
        <v>397</v>
      </c>
      <c r="AB470" t="n">
        <v>385</v>
      </c>
      <c r="AC470" t="n">
        <v>1297</v>
      </c>
      <c r="AD470" t="n">
        <v>3</v>
      </c>
      <c r="AE470" t="n">
        <v>7</v>
      </c>
      <c r="AF470" t="n">
        <v>20</v>
      </c>
      <c r="AG470" t="n">
        <v>47</v>
      </c>
      <c r="AH470" t="n">
        <v>6</v>
      </c>
      <c r="AI470" t="n">
        <v>19</v>
      </c>
      <c r="AJ470" t="n">
        <v>6</v>
      </c>
      <c r="AK470" t="n">
        <v>11</v>
      </c>
      <c r="AL470" t="n">
        <v>15</v>
      </c>
      <c r="AM470" t="n">
        <v>26</v>
      </c>
      <c r="AN470" t="n">
        <v>1</v>
      </c>
      <c r="AO470" t="n">
        <v>5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HYPERLINK("http://catalog.hathitrust.org/Record/102013129","HathiTrust Record")</f>
        <v/>
      </c>
      <c r="AU470">
        <f>HYPERLINK("https://creighton-primo.hosted.exlibrisgroup.com/primo-explore/search?tab=default_tab&amp;search_scope=EVERYTHING&amp;vid=01CRU&amp;lang=en_US&amp;offset=0&amp;query=any,contains,991004541209702656","Catalog Record")</f>
        <v/>
      </c>
      <c r="AV470">
        <f>HYPERLINK("http://www.worldcat.org/oclc/3893820","WorldCat Record")</f>
        <v/>
      </c>
      <c r="AW470" t="inlineStr">
        <is>
          <t>799428808:eng</t>
        </is>
      </c>
      <c r="AX470" t="inlineStr">
        <is>
          <t>3893820</t>
        </is>
      </c>
      <c r="AY470" t="inlineStr">
        <is>
          <t>991004541209702656</t>
        </is>
      </c>
      <c r="AZ470" t="inlineStr">
        <is>
          <t>991004541209702656</t>
        </is>
      </c>
      <c r="BA470" t="inlineStr">
        <is>
          <t>2271905620002656</t>
        </is>
      </c>
      <c r="BB470" t="inlineStr">
        <is>
          <t>BOOK</t>
        </is>
      </c>
      <c r="BD470" t="inlineStr">
        <is>
          <t>9780060641955</t>
        </is>
      </c>
      <c r="BE470" t="inlineStr">
        <is>
          <t>32285000346519</t>
        </is>
      </c>
      <c r="BF470" t="inlineStr">
        <is>
          <t>893325490</t>
        </is>
      </c>
    </row>
    <row r="471">
      <c r="A471" t="inlineStr">
        <is>
          <t>No</t>
        </is>
      </c>
      <c r="B471" t="inlineStr">
        <is>
          <t>CURAL</t>
        </is>
      </c>
      <c r="C471" t="inlineStr">
        <is>
          <t>SHELVES</t>
        </is>
      </c>
      <c r="D471" t="inlineStr">
        <is>
          <t>BL625 .M3 1964</t>
        </is>
      </c>
      <c r="E471" t="inlineStr">
        <is>
          <t>0                      BL 0625000M  3           1964</t>
        </is>
      </c>
      <c r="F471" t="inlineStr">
        <is>
          <t>Studies in the psychology of the mystics / by Joseph Maréchal. Translated, with an introductory foreword, by Algar Thorold.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Maréchal, Joseph, 1878-1944.</t>
        </is>
      </c>
      <c r="N471" t="inlineStr">
        <is>
          <t>Albany : Magi Books, [1964]</t>
        </is>
      </c>
      <c r="O471" t="inlineStr">
        <is>
          <t>1964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BL </t>
        </is>
      </c>
      <c r="U471" t="n">
        <v>6</v>
      </c>
      <c r="V471" t="n">
        <v>6</v>
      </c>
      <c r="W471" t="inlineStr">
        <is>
          <t>2006-10-16</t>
        </is>
      </c>
      <c r="X471" t="inlineStr">
        <is>
          <t>2006-10-16</t>
        </is>
      </c>
      <c r="Y471" t="inlineStr">
        <is>
          <t>1990-10-12</t>
        </is>
      </c>
      <c r="Z471" t="inlineStr">
        <is>
          <t>1990-10-12</t>
        </is>
      </c>
      <c r="AA471" t="n">
        <v>377</v>
      </c>
      <c r="AB471" t="n">
        <v>336</v>
      </c>
      <c r="AC471" t="n">
        <v>525</v>
      </c>
      <c r="AD471" t="n">
        <v>3</v>
      </c>
      <c r="AE471" t="n">
        <v>4</v>
      </c>
      <c r="AF471" t="n">
        <v>29</v>
      </c>
      <c r="AG471" t="n">
        <v>44</v>
      </c>
      <c r="AH471" t="n">
        <v>13</v>
      </c>
      <c r="AI471" t="n">
        <v>19</v>
      </c>
      <c r="AJ471" t="n">
        <v>7</v>
      </c>
      <c r="AK471" t="n">
        <v>10</v>
      </c>
      <c r="AL471" t="n">
        <v>14</v>
      </c>
      <c r="AM471" t="n">
        <v>26</v>
      </c>
      <c r="AN471" t="n">
        <v>2</v>
      </c>
      <c r="AO471" t="n">
        <v>3</v>
      </c>
      <c r="AP471" t="n">
        <v>0</v>
      </c>
      <c r="AQ471" t="n">
        <v>0</v>
      </c>
      <c r="AR471" t="inlineStr">
        <is>
          <t>No</t>
        </is>
      </c>
      <c r="AS471" t="inlineStr">
        <is>
          <t>Yes</t>
        </is>
      </c>
      <c r="AT471">
        <f>HYPERLINK("http://catalog.hathitrust.org/Record/008321298","HathiTrust Record")</f>
        <v/>
      </c>
      <c r="AU471">
        <f>HYPERLINK("https://creighton-primo.hosted.exlibrisgroup.com/primo-explore/search?tab=default_tab&amp;search_scope=EVERYTHING&amp;vid=01CRU&amp;lang=en_US&amp;offset=0&amp;query=any,contains,991003266739702656","Catalog Record")</f>
        <v/>
      </c>
      <c r="AV471">
        <f>HYPERLINK("http://www.worldcat.org/oclc/793144","WorldCat Record")</f>
        <v/>
      </c>
      <c r="AW471" t="inlineStr">
        <is>
          <t>3372384335:eng</t>
        </is>
      </c>
      <c r="AX471" t="inlineStr">
        <is>
          <t>793144</t>
        </is>
      </c>
      <c r="AY471" t="inlineStr">
        <is>
          <t>991003266739702656</t>
        </is>
      </c>
      <c r="AZ471" t="inlineStr">
        <is>
          <t>991003266739702656</t>
        </is>
      </c>
      <c r="BA471" t="inlineStr">
        <is>
          <t>2263128970002656</t>
        </is>
      </c>
      <c r="BB471" t="inlineStr">
        <is>
          <t>BOOK</t>
        </is>
      </c>
      <c r="BE471" t="inlineStr">
        <is>
          <t>32285000346568</t>
        </is>
      </c>
      <c r="BF471" t="inlineStr">
        <is>
          <t>893874593</t>
        </is>
      </c>
    </row>
    <row r="472">
      <c r="A472" t="inlineStr">
        <is>
          <t>No</t>
        </is>
      </c>
      <c r="B472" t="inlineStr">
        <is>
          <t>CURAL</t>
        </is>
      </c>
      <c r="C472" t="inlineStr">
        <is>
          <t>SHELVES</t>
        </is>
      </c>
      <c r="D472" t="inlineStr">
        <is>
          <t>BL625 .M88 1989</t>
        </is>
      </c>
      <c r="E472" t="inlineStr">
        <is>
          <t>0                      BL 0625000M  88          1989</t>
        </is>
      </c>
      <c r="F472" t="inlineStr">
        <is>
          <t>Mystical union and monotheistic faith : an ecumenical dialogue / edited by Moshe Idel and Bernard McGinn.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N472" t="inlineStr">
        <is>
          <t>New York : Macmillan ; London : Collier Macmillan, c1989.</t>
        </is>
      </c>
      <c r="O472" t="inlineStr">
        <is>
          <t>1989</t>
        </is>
      </c>
      <c r="Q472" t="inlineStr">
        <is>
          <t>eng</t>
        </is>
      </c>
      <c r="R472" t="inlineStr">
        <is>
          <t>nyu</t>
        </is>
      </c>
      <c r="T472" t="inlineStr">
        <is>
          <t xml:space="preserve">BL </t>
        </is>
      </c>
      <c r="U472" t="n">
        <v>1</v>
      </c>
      <c r="V472" t="n">
        <v>1</v>
      </c>
      <c r="W472" t="inlineStr">
        <is>
          <t>2006-09-09</t>
        </is>
      </c>
      <c r="X472" t="inlineStr">
        <is>
          <t>2006-09-09</t>
        </is>
      </c>
      <c r="Y472" t="inlineStr">
        <is>
          <t>1992-04-09</t>
        </is>
      </c>
      <c r="Z472" t="inlineStr">
        <is>
          <t>1992-04-09</t>
        </is>
      </c>
      <c r="AA472" t="n">
        <v>203</v>
      </c>
      <c r="AB472" t="n">
        <v>174</v>
      </c>
      <c r="AC472" t="n">
        <v>176</v>
      </c>
      <c r="AD472" t="n">
        <v>2</v>
      </c>
      <c r="AE472" t="n">
        <v>2</v>
      </c>
      <c r="AF472" t="n">
        <v>13</v>
      </c>
      <c r="AG472" t="n">
        <v>13</v>
      </c>
      <c r="AH472" t="n">
        <v>4</v>
      </c>
      <c r="AI472" t="n">
        <v>4</v>
      </c>
      <c r="AJ472" t="n">
        <v>4</v>
      </c>
      <c r="AK472" t="n">
        <v>4</v>
      </c>
      <c r="AL472" t="n">
        <v>9</v>
      </c>
      <c r="AM472" t="n">
        <v>9</v>
      </c>
      <c r="AN472" t="n">
        <v>1</v>
      </c>
      <c r="AO472" t="n">
        <v>1</v>
      </c>
      <c r="AP472" t="n">
        <v>0</v>
      </c>
      <c r="AQ472" t="n">
        <v>0</v>
      </c>
      <c r="AR472" t="inlineStr">
        <is>
          <t>No</t>
        </is>
      </c>
      <c r="AS472" t="inlineStr">
        <is>
          <t>Yes</t>
        </is>
      </c>
      <c r="AT472">
        <f>HYPERLINK("http://catalog.hathitrust.org/Record/001821992","HathiTrust Record")</f>
        <v/>
      </c>
      <c r="AU472">
        <f>HYPERLINK("https://creighton-primo.hosted.exlibrisgroup.com/primo-explore/search?tab=default_tab&amp;search_scope=EVERYTHING&amp;vid=01CRU&amp;lang=en_US&amp;offset=0&amp;query=any,contains,991001310329702656","Catalog Record")</f>
        <v/>
      </c>
      <c r="AV472">
        <f>HYPERLINK("http://www.worldcat.org/oclc/18135941","WorldCat Record")</f>
        <v/>
      </c>
      <c r="AW472" t="inlineStr">
        <is>
          <t>16946215:eng</t>
        </is>
      </c>
      <c r="AX472" t="inlineStr">
        <is>
          <t>18135941</t>
        </is>
      </c>
      <c r="AY472" t="inlineStr">
        <is>
          <t>991001310329702656</t>
        </is>
      </c>
      <c r="AZ472" t="inlineStr">
        <is>
          <t>991001310329702656</t>
        </is>
      </c>
      <c r="BA472" t="inlineStr">
        <is>
          <t>2260364400002656</t>
        </is>
      </c>
      <c r="BB472" t="inlineStr">
        <is>
          <t>BOOK</t>
        </is>
      </c>
      <c r="BD472" t="inlineStr">
        <is>
          <t>9780028960319</t>
        </is>
      </c>
      <c r="BE472" t="inlineStr">
        <is>
          <t>32285001009157</t>
        </is>
      </c>
      <c r="BF472" t="inlineStr">
        <is>
          <t>893340334</t>
        </is>
      </c>
    </row>
    <row r="473">
      <c r="A473" t="inlineStr">
        <is>
          <t>No</t>
        </is>
      </c>
      <c r="B473" t="inlineStr">
        <is>
          <t>CURAL</t>
        </is>
      </c>
      <c r="C473" t="inlineStr">
        <is>
          <t>SHELVES</t>
        </is>
      </c>
      <c r="D473" t="inlineStr">
        <is>
          <t>BL625 .P37 1976b</t>
        </is>
      </c>
      <c r="E473" t="inlineStr">
        <is>
          <t>0                      BL 0625000P  37          1976b</t>
        </is>
      </c>
      <c r="F473" t="inlineStr">
        <is>
          <t>Mysticism in the world's religions / Geoffrey Parrinder.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Parrinder, Geoffrey.</t>
        </is>
      </c>
      <c r="N473" t="inlineStr">
        <is>
          <t>New York : Oxford University Press, 1976.</t>
        </is>
      </c>
      <c r="O473" t="inlineStr">
        <is>
          <t>1976</t>
        </is>
      </c>
      <c r="Q473" t="inlineStr">
        <is>
          <t>eng</t>
        </is>
      </c>
      <c r="R473" t="inlineStr">
        <is>
          <t>nyu</t>
        </is>
      </c>
      <c r="T473" t="inlineStr">
        <is>
          <t xml:space="preserve">BL </t>
        </is>
      </c>
      <c r="U473" t="n">
        <v>7</v>
      </c>
      <c r="V473" t="n">
        <v>7</v>
      </c>
      <c r="W473" t="inlineStr">
        <is>
          <t>1998-09-26</t>
        </is>
      </c>
      <c r="X473" t="inlineStr">
        <is>
          <t>1998-09-26</t>
        </is>
      </c>
      <c r="Y473" t="inlineStr">
        <is>
          <t>1990-10-12</t>
        </is>
      </c>
      <c r="Z473" t="inlineStr">
        <is>
          <t>1990-10-12</t>
        </is>
      </c>
      <c r="AA473" t="n">
        <v>513</v>
      </c>
      <c r="AB473" t="n">
        <v>484</v>
      </c>
      <c r="AC473" t="n">
        <v>724</v>
      </c>
      <c r="AD473" t="n">
        <v>2</v>
      </c>
      <c r="AE473" t="n">
        <v>5</v>
      </c>
      <c r="AF473" t="n">
        <v>26</v>
      </c>
      <c r="AG473" t="n">
        <v>39</v>
      </c>
      <c r="AH473" t="n">
        <v>7</v>
      </c>
      <c r="AI473" t="n">
        <v>14</v>
      </c>
      <c r="AJ473" t="n">
        <v>6</v>
      </c>
      <c r="AK473" t="n">
        <v>9</v>
      </c>
      <c r="AL473" t="n">
        <v>19</v>
      </c>
      <c r="AM473" t="n">
        <v>23</v>
      </c>
      <c r="AN473" t="n">
        <v>0</v>
      </c>
      <c r="AO473" t="n">
        <v>3</v>
      </c>
      <c r="AP473" t="n">
        <v>0</v>
      </c>
      <c r="AQ473" t="n">
        <v>0</v>
      </c>
      <c r="AR473" t="inlineStr">
        <is>
          <t>No</t>
        </is>
      </c>
      <c r="AS473" t="inlineStr">
        <is>
          <t>Yes</t>
        </is>
      </c>
      <c r="AT473">
        <f>HYPERLINK("http://catalog.hathitrust.org/Record/102036155","HathiTrust Record")</f>
        <v/>
      </c>
      <c r="AU473">
        <f>HYPERLINK("https://creighton-primo.hosted.exlibrisgroup.com/primo-explore/search?tab=default_tab&amp;search_scope=EVERYTHING&amp;vid=01CRU&amp;lang=en_US&amp;offset=0&amp;query=any,contains,991004229109702656","Catalog Record")</f>
        <v/>
      </c>
      <c r="AV473">
        <f>HYPERLINK("http://www.worldcat.org/oclc/2740711","WorldCat Record")</f>
        <v/>
      </c>
      <c r="AW473" t="inlineStr">
        <is>
          <t>1063565:eng</t>
        </is>
      </c>
      <c r="AX473" t="inlineStr">
        <is>
          <t>2740711</t>
        </is>
      </c>
      <c r="AY473" t="inlineStr">
        <is>
          <t>991004229109702656</t>
        </is>
      </c>
      <c r="AZ473" t="inlineStr">
        <is>
          <t>991004229109702656</t>
        </is>
      </c>
      <c r="BA473" t="inlineStr">
        <is>
          <t>2258225720002656</t>
        </is>
      </c>
      <c r="BB473" t="inlineStr">
        <is>
          <t>BOOK</t>
        </is>
      </c>
      <c r="BD473" t="inlineStr">
        <is>
          <t>9780195021844</t>
        </is>
      </c>
      <c r="BE473" t="inlineStr">
        <is>
          <t>32285000346584</t>
        </is>
      </c>
      <c r="BF473" t="inlineStr">
        <is>
          <t>893343603</t>
        </is>
      </c>
    </row>
    <row r="474">
      <c r="A474" t="inlineStr">
        <is>
          <t>No</t>
        </is>
      </c>
      <c r="B474" t="inlineStr">
        <is>
          <t>CURAL</t>
        </is>
      </c>
      <c r="C474" t="inlineStr">
        <is>
          <t>SHELVES</t>
        </is>
      </c>
      <c r="D474" t="inlineStr">
        <is>
          <t>BL625 .S65 1971</t>
        </is>
      </c>
      <c r="E474" t="inlineStr">
        <is>
          <t>0                      BL 0625000S  65          1971</t>
        </is>
      </c>
      <c r="F474" t="inlineStr">
        <is>
          <t>Mysticism in world religion / Sidney Spencer.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Spencer, Sidney, 1888-</t>
        </is>
      </c>
      <c r="N474" t="inlineStr">
        <is>
          <t>Gloucester, Mass. : P. Smith, 1971, [c1963]</t>
        </is>
      </c>
      <c r="O474" t="inlineStr">
        <is>
          <t>1971</t>
        </is>
      </c>
      <c r="Q474" t="inlineStr">
        <is>
          <t>eng</t>
        </is>
      </c>
      <c r="R474" t="inlineStr">
        <is>
          <t>mau</t>
        </is>
      </c>
      <c r="S474" t="inlineStr">
        <is>
          <t>Pelican books ; A594</t>
        </is>
      </c>
      <c r="T474" t="inlineStr">
        <is>
          <t xml:space="preserve">BL </t>
        </is>
      </c>
      <c r="U474" t="n">
        <v>2</v>
      </c>
      <c r="V474" t="n">
        <v>2</v>
      </c>
      <c r="W474" t="inlineStr">
        <is>
          <t>1995-10-22</t>
        </is>
      </c>
      <c r="X474" t="inlineStr">
        <is>
          <t>1995-10-22</t>
        </is>
      </c>
      <c r="Y474" t="inlineStr">
        <is>
          <t>1993-07-29</t>
        </is>
      </c>
      <c r="Z474" t="inlineStr">
        <is>
          <t>1993-07-29</t>
        </is>
      </c>
      <c r="AA474" t="n">
        <v>170</v>
      </c>
      <c r="AB474" t="n">
        <v>141</v>
      </c>
      <c r="AC474" t="n">
        <v>504</v>
      </c>
      <c r="AD474" t="n">
        <v>2</v>
      </c>
      <c r="AE474" t="n">
        <v>4</v>
      </c>
      <c r="AF474" t="n">
        <v>12</v>
      </c>
      <c r="AG474" t="n">
        <v>29</v>
      </c>
      <c r="AH474" t="n">
        <v>5</v>
      </c>
      <c r="AI474" t="n">
        <v>12</v>
      </c>
      <c r="AJ474" t="n">
        <v>3</v>
      </c>
      <c r="AK474" t="n">
        <v>6</v>
      </c>
      <c r="AL474" t="n">
        <v>6</v>
      </c>
      <c r="AM474" t="n">
        <v>16</v>
      </c>
      <c r="AN474" t="n">
        <v>1</v>
      </c>
      <c r="AO474" t="n">
        <v>2</v>
      </c>
      <c r="AP474" t="n">
        <v>0</v>
      </c>
      <c r="AQ474" t="n">
        <v>0</v>
      </c>
      <c r="AR474" t="inlineStr">
        <is>
          <t>No</t>
        </is>
      </c>
      <c r="AS474" t="inlineStr">
        <is>
          <t>No</t>
        </is>
      </c>
      <c r="AT474">
        <f>HYPERLINK("http://catalog.hathitrust.org/Record/102069127","HathiTrust Record")</f>
        <v/>
      </c>
      <c r="AU474">
        <f>HYPERLINK("https://creighton-primo.hosted.exlibrisgroup.com/primo-explore/search?tab=default_tab&amp;search_scope=EVERYTHING&amp;vid=01CRU&amp;lang=en_US&amp;offset=0&amp;query=any,contains,991000790099702656","Catalog Record")</f>
        <v/>
      </c>
      <c r="AV474">
        <f>HYPERLINK("http://www.worldcat.org/oclc/136201","WorldCat Record")</f>
        <v/>
      </c>
      <c r="AW474" t="inlineStr">
        <is>
          <t>396537:eng</t>
        </is>
      </c>
      <c r="AX474" t="inlineStr">
        <is>
          <t>136201</t>
        </is>
      </c>
      <c r="AY474" t="inlineStr">
        <is>
          <t>991000790099702656</t>
        </is>
      </c>
      <c r="AZ474" t="inlineStr">
        <is>
          <t>991000790099702656</t>
        </is>
      </c>
      <c r="BA474" t="inlineStr">
        <is>
          <t>2264200230002656</t>
        </is>
      </c>
      <c r="BB474" t="inlineStr">
        <is>
          <t>BOOK</t>
        </is>
      </c>
      <c r="BE474" t="inlineStr">
        <is>
          <t>32285001703981</t>
        </is>
      </c>
      <c r="BF474" t="inlineStr">
        <is>
          <t>893345978</t>
        </is>
      </c>
    </row>
    <row r="475">
      <c r="A475" t="inlineStr">
        <is>
          <t>No</t>
        </is>
      </c>
      <c r="B475" t="inlineStr">
        <is>
          <t>CURAL</t>
        </is>
      </c>
      <c r="C475" t="inlineStr">
        <is>
          <t>SHELVES</t>
        </is>
      </c>
      <c r="D475" t="inlineStr">
        <is>
          <t>BL625 .S76</t>
        </is>
      </c>
      <c r="E475" t="inlineStr">
        <is>
          <t>0                      BL 0625000S  76</t>
        </is>
      </c>
      <c r="F475" t="inlineStr">
        <is>
          <t>Oriental mysticism.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0</t>
        </is>
      </c>
      <c r="M475" t="inlineStr">
        <is>
          <t>Stevens, Edward, 1928-</t>
        </is>
      </c>
      <c r="N475" t="inlineStr">
        <is>
          <t>New York, Paulist Press [1973]</t>
        </is>
      </c>
      <c r="O475" t="inlineStr">
        <is>
          <t>1973</t>
        </is>
      </c>
      <c r="Q475" t="inlineStr">
        <is>
          <t>eng</t>
        </is>
      </c>
      <c r="R475" t="inlineStr">
        <is>
          <t>nyu</t>
        </is>
      </c>
      <c r="S475" t="inlineStr">
        <is>
          <t>Deus books</t>
        </is>
      </c>
      <c r="T475" t="inlineStr">
        <is>
          <t xml:space="preserve">BL </t>
        </is>
      </c>
      <c r="U475" t="n">
        <v>3</v>
      </c>
      <c r="V475" t="n">
        <v>3</v>
      </c>
      <c r="W475" t="inlineStr">
        <is>
          <t>1995-10-29</t>
        </is>
      </c>
      <c r="X475" t="inlineStr">
        <is>
          <t>1995-10-29</t>
        </is>
      </c>
      <c r="Y475" t="inlineStr">
        <is>
          <t>1991-01-09</t>
        </is>
      </c>
      <c r="Z475" t="inlineStr">
        <is>
          <t>1991-01-09</t>
        </is>
      </c>
      <c r="AA475" t="n">
        <v>279</v>
      </c>
      <c r="AB475" t="n">
        <v>251</v>
      </c>
      <c r="AC475" t="n">
        <v>252</v>
      </c>
      <c r="AD475" t="n">
        <v>2</v>
      </c>
      <c r="AE475" t="n">
        <v>2</v>
      </c>
      <c r="AF475" t="n">
        <v>25</v>
      </c>
      <c r="AG475" t="n">
        <v>25</v>
      </c>
      <c r="AH475" t="n">
        <v>9</v>
      </c>
      <c r="AI475" t="n">
        <v>9</v>
      </c>
      <c r="AJ475" t="n">
        <v>4</v>
      </c>
      <c r="AK475" t="n">
        <v>4</v>
      </c>
      <c r="AL475" t="n">
        <v>18</v>
      </c>
      <c r="AM475" t="n">
        <v>18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Yes</t>
        </is>
      </c>
      <c r="AT475">
        <f>HYPERLINK("http://catalog.hathitrust.org/Record/006014328","HathiTrust Record")</f>
        <v/>
      </c>
      <c r="AU475">
        <f>HYPERLINK("https://creighton-primo.hosted.exlibrisgroup.com/primo-explore/search?tab=default_tab&amp;search_scope=EVERYTHING&amp;vid=01CRU&amp;lang=en_US&amp;offset=0&amp;query=any,contains,991003239479702656","Catalog Record")</f>
        <v/>
      </c>
      <c r="AV475">
        <f>HYPERLINK("http://www.worldcat.org/oclc/762818","WorldCat Record")</f>
        <v/>
      </c>
      <c r="AW475" t="inlineStr">
        <is>
          <t>1641590:eng</t>
        </is>
      </c>
      <c r="AX475" t="inlineStr">
        <is>
          <t>762818</t>
        </is>
      </c>
      <c r="AY475" t="inlineStr">
        <is>
          <t>991003239479702656</t>
        </is>
      </c>
      <c r="AZ475" t="inlineStr">
        <is>
          <t>991003239479702656</t>
        </is>
      </c>
      <c r="BA475" t="inlineStr">
        <is>
          <t>2265276660002656</t>
        </is>
      </c>
      <c r="BB475" t="inlineStr">
        <is>
          <t>BOOK</t>
        </is>
      </c>
      <c r="BD475" t="inlineStr">
        <is>
          <t>9780809117987</t>
        </is>
      </c>
      <c r="BE475" t="inlineStr">
        <is>
          <t>32285000427541</t>
        </is>
      </c>
      <c r="BF475" t="inlineStr">
        <is>
          <t>893352737</t>
        </is>
      </c>
    </row>
    <row r="476">
      <c r="A476" t="inlineStr">
        <is>
          <t>No</t>
        </is>
      </c>
      <c r="B476" t="inlineStr">
        <is>
          <t>CURAL</t>
        </is>
      </c>
      <c r="C476" t="inlineStr">
        <is>
          <t>SHELVES</t>
        </is>
      </c>
      <c r="D476" t="inlineStr">
        <is>
          <t>BL625 .W35</t>
        </is>
      </c>
      <c r="E476" t="inlineStr">
        <is>
          <t>0                      BL 0625000W  35</t>
        </is>
      </c>
      <c r="F476" t="inlineStr">
        <is>
          <t>This is it, and other essays on Zen and spiritual experience.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Watts, Alan, 1915-1973.</t>
        </is>
      </c>
      <c r="N476" t="inlineStr">
        <is>
          <t>[New York] Pantheon Books [1960]</t>
        </is>
      </c>
      <c r="O476" t="inlineStr">
        <is>
          <t>1960</t>
        </is>
      </c>
      <c r="Q476" t="inlineStr">
        <is>
          <t>eng</t>
        </is>
      </c>
      <c r="R476" t="inlineStr">
        <is>
          <t>nyu</t>
        </is>
      </c>
      <c r="T476" t="inlineStr">
        <is>
          <t xml:space="preserve">BL </t>
        </is>
      </c>
      <c r="U476" t="n">
        <v>5</v>
      </c>
      <c r="V476" t="n">
        <v>5</v>
      </c>
      <c r="W476" t="inlineStr">
        <is>
          <t>2010-05-11</t>
        </is>
      </c>
      <c r="X476" t="inlineStr">
        <is>
          <t>2010-05-11</t>
        </is>
      </c>
      <c r="Y476" t="inlineStr">
        <is>
          <t>1990-10-12</t>
        </is>
      </c>
      <c r="Z476" t="inlineStr">
        <is>
          <t>1990-10-12</t>
        </is>
      </c>
      <c r="AA476" t="n">
        <v>330</v>
      </c>
      <c r="AB476" t="n">
        <v>299</v>
      </c>
      <c r="AC476" t="n">
        <v>637</v>
      </c>
      <c r="AD476" t="n">
        <v>1</v>
      </c>
      <c r="AE476" t="n">
        <v>3</v>
      </c>
      <c r="AF476" t="n">
        <v>12</v>
      </c>
      <c r="AG476" t="n">
        <v>26</v>
      </c>
      <c r="AH476" t="n">
        <v>7</v>
      </c>
      <c r="AI476" t="n">
        <v>12</v>
      </c>
      <c r="AJ476" t="n">
        <v>3</v>
      </c>
      <c r="AK476" t="n">
        <v>7</v>
      </c>
      <c r="AL476" t="n">
        <v>4</v>
      </c>
      <c r="AM476" t="n">
        <v>14</v>
      </c>
      <c r="AN476" t="n">
        <v>0</v>
      </c>
      <c r="AO476" t="n">
        <v>2</v>
      </c>
      <c r="AP476" t="n">
        <v>0</v>
      </c>
      <c r="AQ476" t="n">
        <v>0</v>
      </c>
      <c r="AR476" t="inlineStr">
        <is>
          <t>No</t>
        </is>
      </c>
      <c r="AS476" t="inlineStr">
        <is>
          <t>Yes</t>
        </is>
      </c>
      <c r="AT476">
        <f>HYPERLINK("http://catalog.hathitrust.org/Record/001392382","HathiTrust Record")</f>
        <v/>
      </c>
      <c r="AU476">
        <f>HYPERLINK("https://creighton-primo.hosted.exlibrisgroup.com/primo-explore/search?tab=default_tab&amp;search_scope=EVERYTHING&amp;vid=01CRU&amp;lang=en_US&amp;offset=0&amp;query=any,contains,991002199279702656","Catalog Record")</f>
        <v/>
      </c>
      <c r="AV476">
        <f>HYPERLINK("http://www.worldcat.org/oclc/283835","WorldCat Record")</f>
        <v/>
      </c>
      <c r="AW476" t="inlineStr">
        <is>
          <t>464239:eng</t>
        </is>
      </c>
      <c r="AX476" t="inlineStr">
        <is>
          <t>283835</t>
        </is>
      </c>
      <c r="AY476" t="inlineStr">
        <is>
          <t>991002199279702656</t>
        </is>
      </c>
      <c r="AZ476" t="inlineStr">
        <is>
          <t>991002199279702656</t>
        </is>
      </c>
      <c r="BA476" t="inlineStr">
        <is>
          <t>2265760580002656</t>
        </is>
      </c>
      <c r="BB476" t="inlineStr">
        <is>
          <t>BOOK</t>
        </is>
      </c>
      <c r="BE476" t="inlineStr">
        <is>
          <t>32285000346634</t>
        </is>
      </c>
      <c r="BF476" t="inlineStr">
        <is>
          <t>893903754</t>
        </is>
      </c>
    </row>
    <row r="477">
      <c r="A477" t="inlineStr">
        <is>
          <t>No</t>
        </is>
      </c>
      <c r="B477" t="inlineStr">
        <is>
          <t>CURAL</t>
        </is>
      </c>
      <c r="C477" t="inlineStr">
        <is>
          <t>SHELVES</t>
        </is>
      </c>
      <c r="D477" t="inlineStr">
        <is>
          <t>BL625 .Z17</t>
        </is>
      </c>
      <c r="E477" t="inlineStr">
        <is>
          <t>0                      BL 0625000Z  17</t>
        </is>
      </c>
      <c r="F477" t="inlineStr">
        <is>
          <t>Concordant discord: the interdependence of faiths: being the Gifford lectures on natural religion delivered at St. Andrews in 1967-1969, by R. C. Zaehner.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Zaehner, R. C. (Robert Charles), 1913-1974.</t>
        </is>
      </c>
      <c r="N477" t="inlineStr">
        <is>
          <t>Oxford, Clarendon P., 1970.</t>
        </is>
      </c>
      <c r="O477" t="inlineStr">
        <is>
          <t>1970</t>
        </is>
      </c>
      <c r="Q477" t="inlineStr">
        <is>
          <t>eng</t>
        </is>
      </c>
      <c r="R477" t="inlineStr">
        <is>
          <t>enk</t>
        </is>
      </c>
      <c r="S477" t="inlineStr">
        <is>
          <t>Gifford lectures ; 1967-69</t>
        </is>
      </c>
      <c r="T477" t="inlineStr">
        <is>
          <t xml:space="preserve">BL </t>
        </is>
      </c>
      <c r="U477" t="n">
        <v>2</v>
      </c>
      <c r="V477" t="n">
        <v>2</v>
      </c>
      <c r="W477" t="inlineStr">
        <is>
          <t>2006-10-16</t>
        </is>
      </c>
      <c r="X477" t="inlineStr">
        <is>
          <t>2006-10-16</t>
        </is>
      </c>
      <c r="Y477" t="inlineStr">
        <is>
          <t>1990-10-12</t>
        </is>
      </c>
      <c r="Z477" t="inlineStr">
        <is>
          <t>1990-10-12</t>
        </is>
      </c>
      <c r="AA477" t="n">
        <v>650</v>
      </c>
      <c r="AB477" t="n">
        <v>502</v>
      </c>
      <c r="AC477" t="n">
        <v>503</v>
      </c>
      <c r="AD477" t="n">
        <v>5</v>
      </c>
      <c r="AE477" t="n">
        <v>5</v>
      </c>
      <c r="AF477" t="n">
        <v>34</v>
      </c>
      <c r="AG477" t="n">
        <v>34</v>
      </c>
      <c r="AH477" t="n">
        <v>11</v>
      </c>
      <c r="AI477" t="n">
        <v>11</v>
      </c>
      <c r="AJ477" t="n">
        <v>7</v>
      </c>
      <c r="AK477" t="n">
        <v>7</v>
      </c>
      <c r="AL477" t="n">
        <v>22</v>
      </c>
      <c r="AM477" t="n">
        <v>22</v>
      </c>
      <c r="AN477" t="n">
        <v>4</v>
      </c>
      <c r="AO477" t="n">
        <v>4</v>
      </c>
      <c r="AP477" t="n">
        <v>0</v>
      </c>
      <c r="AQ477" t="n">
        <v>0</v>
      </c>
      <c r="AR477" t="inlineStr">
        <is>
          <t>No</t>
        </is>
      </c>
      <c r="AS477" t="inlineStr">
        <is>
          <t>Yes</t>
        </is>
      </c>
      <c r="AT477">
        <f>HYPERLINK("http://catalog.hathitrust.org/Record/001392383","HathiTrust Record")</f>
        <v/>
      </c>
      <c r="AU477">
        <f>HYPERLINK("https://creighton-primo.hosted.exlibrisgroup.com/primo-explore/search?tab=default_tab&amp;search_scope=EVERYTHING&amp;vid=01CRU&amp;lang=en_US&amp;offset=0&amp;query=any,contains,991000714089702656","Catalog Record")</f>
        <v/>
      </c>
      <c r="AV477">
        <f>HYPERLINK("http://www.worldcat.org/oclc/125082","WorldCat Record")</f>
        <v/>
      </c>
      <c r="AW477" t="inlineStr">
        <is>
          <t>3855301313:eng</t>
        </is>
      </c>
      <c r="AX477" t="inlineStr">
        <is>
          <t>125082</t>
        </is>
      </c>
      <c r="AY477" t="inlineStr">
        <is>
          <t>991000714089702656</t>
        </is>
      </c>
      <c r="AZ477" t="inlineStr">
        <is>
          <t>991000714089702656</t>
        </is>
      </c>
      <c r="BA477" t="inlineStr">
        <is>
          <t>2260415570002656</t>
        </is>
      </c>
      <c r="BB477" t="inlineStr">
        <is>
          <t>BOOK</t>
        </is>
      </c>
      <c r="BD477" t="inlineStr">
        <is>
          <t>9780198266242</t>
        </is>
      </c>
      <c r="BE477" t="inlineStr">
        <is>
          <t>32285000346642</t>
        </is>
      </c>
      <c r="BF477" t="inlineStr">
        <is>
          <t>893243503</t>
        </is>
      </c>
    </row>
    <row r="478">
      <c r="A478" t="inlineStr">
        <is>
          <t>No</t>
        </is>
      </c>
      <c r="B478" t="inlineStr">
        <is>
          <t>CURAL</t>
        </is>
      </c>
      <c r="C478" t="inlineStr">
        <is>
          <t>SHELVES</t>
        </is>
      </c>
      <c r="D478" t="inlineStr">
        <is>
          <t>BL625 .Z18 1961</t>
        </is>
      </c>
      <c r="E478" t="inlineStr">
        <is>
          <t>0                      BL 0625000Z  18          1961</t>
        </is>
      </c>
      <c r="F478" t="inlineStr">
        <is>
          <t>Mysticism, sacred and profane; an inquiry into some varieties of praeternatural experience.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No</t>
        </is>
      </c>
      <c r="L478" t="inlineStr">
        <is>
          <t>0</t>
        </is>
      </c>
      <c r="M478" t="inlineStr">
        <is>
          <t>Zaehner, R. C. (Robert Charles), 1913-1974.</t>
        </is>
      </c>
      <c r="N478" t="inlineStr">
        <is>
          <t>London, Oxford University Press, 1961.</t>
        </is>
      </c>
      <c r="O478" t="inlineStr">
        <is>
          <t>1961</t>
        </is>
      </c>
      <c r="Q478" t="inlineStr">
        <is>
          <t>eng</t>
        </is>
      </c>
      <c r="R478" t="inlineStr">
        <is>
          <t>___</t>
        </is>
      </c>
      <c r="T478" t="inlineStr">
        <is>
          <t xml:space="preserve">BL </t>
        </is>
      </c>
      <c r="U478" t="n">
        <v>5</v>
      </c>
      <c r="V478" t="n">
        <v>5</v>
      </c>
      <c r="W478" t="inlineStr">
        <is>
          <t>2006-10-16</t>
        </is>
      </c>
      <c r="X478" t="inlineStr">
        <is>
          <t>2006-10-16</t>
        </is>
      </c>
      <c r="Y478" t="inlineStr">
        <is>
          <t>1990-10-12</t>
        </is>
      </c>
      <c r="Z478" t="inlineStr">
        <is>
          <t>1990-10-12</t>
        </is>
      </c>
      <c r="AA478" t="n">
        <v>346</v>
      </c>
      <c r="AB478" t="n">
        <v>304</v>
      </c>
      <c r="AC478" t="n">
        <v>729</v>
      </c>
      <c r="AD478" t="n">
        <v>3</v>
      </c>
      <c r="AE478" t="n">
        <v>4</v>
      </c>
      <c r="AF478" t="n">
        <v>18</v>
      </c>
      <c r="AG478" t="n">
        <v>39</v>
      </c>
      <c r="AH478" t="n">
        <v>3</v>
      </c>
      <c r="AI478" t="n">
        <v>17</v>
      </c>
      <c r="AJ478" t="n">
        <v>6</v>
      </c>
      <c r="AK478" t="n">
        <v>9</v>
      </c>
      <c r="AL478" t="n">
        <v>9</v>
      </c>
      <c r="AM478" t="n">
        <v>21</v>
      </c>
      <c r="AN478" t="n">
        <v>2</v>
      </c>
      <c r="AO478" t="n">
        <v>3</v>
      </c>
      <c r="AP478" t="n">
        <v>0</v>
      </c>
      <c r="AQ478" t="n">
        <v>0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HYPERLINK("http://catalog.hathitrust.org/Record/101992091","HathiTrust Record")</f>
        <v/>
      </c>
      <c r="AU478">
        <f>HYPERLINK("https://creighton-primo.hosted.exlibrisgroup.com/primo-explore/search?tab=default_tab&amp;search_scope=EVERYTHING&amp;vid=01CRU&amp;lang=en_US&amp;offset=0&amp;query=any,contains,991001180689702656","Catalog Record")</f>
        <v/>
      </c>
      <c r="AV478">
        <f>HYPERLINK("http://www.worldcat.org/oclc/4577225","WorldCat Record")</f>
        <v/>
      </c>
      <c r="AW478" t="inlineStr">
        <is>
          <t>414641:eng</t>
        </is>
      </c>
      <c r="AX478" t="inlineStr">
        <is>
          <t>4577225</t>
        </is>
      </c>
      <c r="AY478" t="inlineStr">
        <is>
          <t>991001180689702656</t>
        </is>
      </c>
      <c r="AZ478" t="inlineStr">
        <is>
          <t>991001180689702656</t>
        </is>
      </c>
      <c r="BA478" t="inlineStr">
        <is>
          <t>2259558800002656</t>
        </is>
      </c>
      <c r="BB478" t="inlineStr">
        <is>
          <t>BOOK</t>
        </is>
      </c>
      <c r="BE478" t="inlineStr">
        <is>
          <t>32285000346659</t>
        </is>
      </c>
      <c r="BF478" t="inlineStr">
        <is>
          <t>893690409</t>
        </is>
      </c>
    </row>
    <row r="479">
      <c r="A479" t="inlineStr">
        <is>
          <t>No</t>
        </is>
      </c>
      <c r="B479" t="inlineStr">
        <is>
          <t>CURAL</t>
        </is>
      </c>
      <c r="C479" t="inlineStr">
        <is>
          <t>SHELVES</t>
        </is>
      </c>
      <c r="D479" t="inlineStr">
        <is>
          <t>BL625.9.S53 S54 1993</t>
        </is>
      </c>
      <c r="E479" t="inlineStr">
        <is>
          <t>0                      BL 0625900S  53                 S  54          1993</t>
        </is>
      </c>
      <c r="F479" t="inlineStr">
        <is>
          <t>How to live between office visits : a guide to life, love and health / Bernie S. Siegel.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No</t>
        </is>
      </c>
      <c r="L479" t="inlineStr">
        <is>
          <t>0</t>
        </is>
      </c>
      <c r="M479" t="inlineStr">
        <is>
          <t>Siegel, Bernie S.</t>
        </is>
      </c>
      <c r="N479" t="inlineStr">
        <is>
          <t>New York : HarperCollinsPublishers, c1993.</t>
        </is>
      </c>
      <c r="O479" t="inlineStr">
        <is>
          <t>1993</t>
        </is>
      </c>
      <c r="P479" t="inlineStr">
        <is>
          <t>1st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BL </t>
        </is>
      </c>
      <c r="U479" t="n">
        <v>4</v>
      </c>
      <c r="V479" t="n">
        <v>4</v>
      </c>
      <c r="W479" t="inlineStr">
        <is>
          <t>1997-02-13</t>
        </is>
      </c>
      <c r="X479" t="inlineStr">
        <is>
          <t>1997-02-13</t>
        </is>
      </c>
      <c r="Y479" t="inlineStr">
        <is>
          <t>1993-06-07</t>
        </is>
      </c>
      <c r="Z479" t="inlineStr">
        <is>
          <t>1993-06-07</t>
        </is>
      </c>
      <c r="AA479" t="n">
        <v>884</v>
      </c>
      <c r="AB479" t="n">
        <v>845</v>
      </c>
      <c r="AC479" t="n">
        <v>918</v>
      </c>
      <c r="AD479" t="n">
        <v>4</v>
      </c>
      <c r="AE479" t="n">
        <v>4</v>
      </c>
      <c r="AF479" t="n">
        <v>2</v>
      </c>
      <c r="AG479" t="n">
        <v>3</v>
      </c>
      <c r="AH479" t="n">
        <v>1</v>
      </c>
      <c r="AI479" t="n">
        <v>2</v>
      </c>
      <c r="AJ479" t="n">
        <v>1</v>
      </c>
      <c r="AK479" t="n">
        <v>1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inlineStr">
        <is>
          <t>No</t>
        </is>
      </c>
      <c r="AS479" t="inlineStr">
        <is>
          <t>No</t>
        </is>
      </c>
      <c r="AU479">
        <f>HYPERLINK("https://creighton-primo.hosted.exlibrisgroup.com/primo-explore/search?tab=default_tab&amp;search_scope=EVERYTHING&amp;vid=01CRU&amp;lang=en_US&amp;offset=0&amp;query=any,contains,991002108929702656","Catalog Record")</f>
        <v/>
      </c>
      <c r="AV479">
        <f>HYPERLINK("http://www.worldcat.org/oclc/27035210","WorldCat Record")</f>
        <v/>
      </c>
      <c r="AW479" t="inlineStr">
        <is>
          <t>348806607:eng</t>
        </is>
      </c>
      <c r="AX479" t="inlineStr">
        <is>
          <t>27035210</t>
        </is>
      </c>
      <c r="AY479" t="inlineStr">
        <is>
          <t>991002108929702656</t>
        </is>
      </c>
      <c r="AZ479" t="inlineStr">
        <is>
          <t>991002108929702656</t>
        </is>
      </c>
      <c r="BA479" t="inlineStr">
        <is>
          <t>2270317420002656</t>
        </is>
      </c>
      <c r="BB479" t="inlineStr">
        <is>
          <t>BOOK</t>
        </is>
      </c>
      <c r="BD479" t="inlineStr">
        <is>
          <t>9780060168001</t>
        </is>
      </c>
      <c r="BE479" t="inlineStr">
        <is>
          <t>32285001584126</t>
        </is>
      </c>
      <c r="BF479" t="inlineStr">
        <is>
          <t>893439779</t>
        </is>
      </c>
    </row>
    <row r="480">
      <c r="A480" t="inlineStr">
        <is>
          <t>No</t>
        </is>
      </c>
      <c r="B480" t="inlineStr">
        <is>
          <t>CURAL</t>
        </is>
      </c>
      <c r="C480" t="inlineStr">
        <is>
          <t>SHELVES</t>
        </is>
      </c>
      <c r="D480" t="inlineStr">
        <is>
          <t>BL626 .G73</t>
        </is>
      </c>
      <c r="E480" t="inlineStr">
        <is>
          <t>0                      BL 0626000G  73</t>
        </is>
      </c>
      <c r="F480" t="inlineStr">
        <is>
          <t>Ecstasy; a way of knowing [by] Andrew M. Greeley.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M480" t="inlineStr">
        <is>
          <t>Greeley, Andrew M., 1928-2013.</t>
        </is>
      </c>
      <c r="N480" t="inlineStr">
        <is>
          <t>Englewood Cliffs, N.J., Prentice-Hall [1974]</t>
        </is>
      </c>
      <c r="O480" t="inlineStr">
        <is>
          <t>1974</t>
        </is>
      </c>
      <c r="Q480" t="inlineStr">
        <is>
          <t>eng</t>
        </is>
      </c>
      <c r="R480" t="inlineStr">
        <is>
          <t>nju</t>
        </is>
      </c>
      <c r="S480" t="inlineStr">
        <is>
          <t>A Spectrum book</t>
        </is>
      </c>
      <c r="T480" t="inlineStr">
        <is>
          <t xml:space="preserve">BL </t>
        </is>
      </c>
      <c r="U480" t="n">
        <v>3</v>
      </c>
      <c r="V480" t="n">
        <v>3</v>
      </c>
      <c r="W480" t="inlineStr">
        <is>
          <t>1994-01-25</t>
        </is>
      </c>
      <c r="X480" t="inlineStr">
        <is>
          <t>1994-01-25</t>
        </is>
      </c>
      <c r="Y480" t="inlineStr">
        <is>
          <t>1990-10-12</t>
        </is>
      </c>
      <c r="Z480" t="inlineStr">
        <is>
          <t>1990-10-12</t>
        </is>
      </c>
      <c r="AA480" t="n">
        <v>503</v>
      </c>
      <c r="AB480" t="n">
        <v>420</v>
      </c>
      <c r="AC480" t="n">
        <v>421</v>
      </c>
      <c r="AD480" t="n">
        <v>4</v>
      </c>
      <c r="AE480" t="n">
        <v>4</v>
      </c>
      <c r="AF480" t="n">
        <v>24</v>
      </c>
      <c r="AG480" t="n">
        <v>24</v>
      </c>
      <c r="AH480" t="n">
        <v>7</v>
      </c>
      <c r="AI480" t="n">
        <v>7</v>
      </c>
      <c r="AJ480" t="n">
        <v>8</v>
      </c>
      <c r="AK480" t="n">
        <v>8</v>
      </c>
      <c r="AL480" t="n">
        <v>12</v>
      </c>
      <c r="AM480" t="n">
        <v>12</v>
      </c>
      <c r="AN480" t="n">
        <v>3</v>
      </c>
      <c r="AO480" t="n">
        <v>3</v>
      </c>
      <c r="AP480" t="n">
        <v>0</v>
      </c>
      <c r="AQ480" t="n">
        <v>0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HYPERLINK("http://catalog.hathitrust.org/Record/010606759","HathiTrust Record")</f>
        <v/>
      </c>
      <c r="AU480">
        <f>HYPERLINK("https://creighton-primo.hosted.exlibrisgroup.com/primo-explore/search?tab=default_tab&amp;search_scope=EVERYTHING&amp;vid=01CRU&amp;lang=en_US&amp;offset=0&amp;query=any,contains,991003272649702656","Catalog Record")</f>
        <v/>
      </c>
      <c r="AV480">
        <f>HYPERLINK("http://www.worldcat.org/oclc/797832","WorldCat Record")</f>
        <v/>
      </c>
      <c r="AW480" t="inlineStr">
        <is>
          <t>355209357:eng</t>
        </is>
      </c>
      <c r="AX480" t="inlineStr">
        <is>
          <t>797832</t>
        </is>
      </c>
      <c r="AY480" t="inlineStr">
        <is>
          <t>991003272649702656</t>
        </is>
      </c>
      <c r="AZ480" t="inlineStr">
        <is>
          <t>991003272649702656</t>
        </is>
      </c>
      <c r="BA480" t="inlineStr">
        <is>
          <t>2261064230002656</t>
        </is>
      </c>
      <c r="BB480" t="inlineStr">
        <is>
          <t>BOOK</t>
        </is>
      </c>
      <c r="BD480" t="inlineStr">
        <is>
          <t>9780132349482</t>
        </is>
      </c>
      <c r="BE480" t="inlineStr">
        <is>
          <t>32285000346675</t>
        </is>
      </c>
      <c r="BF480" t="inlineStr">
        <is>
          <t>893246201</t>
        </is>
      </c>
    </row>
    <row r="481">
      <c r="A481" t="inlineStr">
        <is>
          <t>No</t>
        </is>
      </c>
      <c r="B481" t="inlineStr">
        <is>
          <t>CURAL</t>
        </is>
      </c>
      <c r="C481" t="inlineStr">
        <is>
          <t>SHELVES</t>
        </is>
      </c>
      <c r="D481" t="inlineStr">
        <is>
          <t>BL626 .L48</t>
        </is>
      </c>
      <c r="E481" t="inlineStr">
        <is>
          <t>0                      BL 0626000L  48</t>
        </is>
      </c>
      <c r="F481" t="inlineStr">
        <is>
          <t>Ecstatic religion; an anthropological study of spirit possession and shamanism [by] I. M. Lewis.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M481" t="inlineStr">
        <is>
          <t>Lewis, I. M.</t>
        </is>
      </c>
      <c r="N481" t="inlineStr">
        <is>
          <t>[Harmondsworth, Eng.] Penguin Books [1971]</t>
        </is>
      </c>
      <c r="O481" t="inlineStr">
        <is>
          <t>1971</t>
        </is>
      </c>
      <c r="Q481" t="inlineStr">
        <is>
          <t>eng</t>
        </is>
      </c>
      <c r="R481" t="inlineStr">
        <is>
          <t>enk</t>
        </is>
      </c>
      <c r="S481" t="inlineStr">
        <is>
          <t>Pelican anthropology library</t>
        </is>
      </c>
      <c r="T481" t="inlineStr">
        <is>
          <t xml:space="preserve">BL </t>
        </is>
      </c>
      <c r="U481" t="n">
        <v>11</v>
      </c>
      <c r="V481" t="n">
        <v>11</v>
      </c>
      <c r="W481" t="inlineStr">
        <is>
          <t>2006-03-26</t>
        </is>
      </c>
      <c r="X481" t="inlineStr">
        <is>
          <t>2006-03-26</t>
        </is>
      </c>
      <c r="Y481" t="inlineStr">
        <is>
          <t>1990-10-12</t>
        </is>
      </c>
      <c r="Z481" t="inlineStr">
        <is>
          <t>1990-10-12</t>
        </is>
      </c>
      <c r="AA481" t="n">
        <v>615</v>
      </c>
      <c r="AB481" t="n">
        <v>425</v>
      </c>
      <c r="AC481" t="n">
        <v>1522</v>
      </c>
      <c r="AD481" t="n">
        <v>4</v>
      </c>
      <c r="AE481" t="n">
        <v>32</v>
      </c>
      <c r="AF481" t="n">
        <v>17</v>
      </c>
      <c r="AG481" t="n">
        <v>58</v>
      </c>
      <c r="AH481" t="n">
        <v>5</v>
      </c>
      <c r="AI481" t="n">
        <v>23</v>
      </c>
      <c r="AJ481" t="n">
        <v>2</v>
      </c>
      <c r="AK481" t="n">
        <v>10</v>
      </c>
      <c r="AL481" t="n">
        <v>9</v>
      </c>
      <c r="AM481" t="n">
        <v>22</v>
      </c>
      <c r="AN481" t="n">
        <v>3</v>
      </c>
      <c r="AO481" t="n">
        <v>16</v>
      </c>
      <c r="AP481" t="n">
        <v>0</v>
      </c>
      <c r="AQ481" t="n">
        <v>0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HYPERLINK("http://catalog.hathitrust.org/Record/000002269","HathiTrust Record")</f>
        <v/>
      </c>
      <c r="AU481">
        <f>HYPERLINK("https://creighton-primo.hosted.exlibrisgroup.com/primo-explore/search?tab=default_tab&amp;search_scope=EVERYTHING&amp;vid=01CRU&amp;lang=en_US&amp;offset=0&amp;query=any,contains,991000876059702656","Catalog Record")</f>
        <v/>
      </c>
      <c r="AV481">
        <f>HYPERLINK("http://www.worldcat.org/oclc/151740","WorldCat Record")</f>
        <v/>
      </c>
      <c r="AW481" t="inlineStr">
        <is>
          <t>800329970:eng</t>
        </is>
      </c>
      <c r="AX481" t="inlineStr">
        <is>
          <t>151740</t>
        </is>
      </c>
      <c r="AY481" t="inlineStr">
        <is>
          <t>991000876059702656</t>
        </is>
      </c>
      <c r="AZ481" t="inlineStr">
        <is>
          <t>991000876059702656</t>
        </is>
      </c>
      <c r="BA481" t="inlineStr">
        <is>
          <t>2272212320002656</t>
        </is>
      </c>
      <c r="BB481" t="inlineStr">
        <is>
          <t>BOOK</t>
        </is>
      </c>
      <c r="BD481" t="inlineStr">
        <is>
          <t>9780140212778</t>
        </is>
      </c>
      <c r="BE481" t="inlineStr">
        <is>
          <t>32285000346683</t>
        </is>
      </c>
      <c r="BF481" t="inlineStr">
        <is>
          <t>893438671</t>
        </is>
      </c>
    </row>
    <row r="482">
      <c r="A482" t="inlineStr">
        <is>
          <t>No</t>
        </is>
      </c>
      <c r="B482" t="inlineStr">
        <is>
          <t>CURAL</t>
        </is>
      </c>
      <c r="C482" t="inlineStr">
        <is>
          <t>SHELVES</t>
        </is>
      </c>
      <c r="D482" t="inlineStr">
        <is>
          <t>BL627 .B56</t>
        </is>
      </c>
      <c r="E482" t="inlineStr">
        <is>
          <t>0                      BL 0627000B  56</t>
        </is>
      </c>
      <c r="F482" t="inlineStr">
        <is>
          <t>TM*: discovering inner energy and overcoming stress [by] Harold H. Bloomfield, Michael Peter Cain [and] Dennis T. Jaffe, in collaboration with Robert Bruce Kory. Foreword by Hans Selye; introd. by R. Buckminster Fuller.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M482" t="inlineStr">
        <is>
          <t>Bloomfield, Harold H., 1944-</t>
        </is>
      </c>
      <c r="N482" t="inlineStr">
        <is>
          <t>New York, Delacorte Press [1975]</t>
        </is>
      </c>
      <c r="O482" t="inlineStr">
        <is>
          <t>1975</t>
        </is>
      </c>
      <c r="Q482" t="inlineStr">
        <is>
          <t>eng</t>
        </is>
      </c>
      <c r="R482" t="inlineStr">
        <is>
          <t>nyu</t>
        </is>
      </c>
      <c r="T482" t="inlineStr">
        <is>
          <t xml:space="preserve">BL </t>
        </is>
      </c>
      <c r="U482" t="n">
        <v>10</v>
      </c>
      <c r="V482" t="n">
        <v>10</v>
      </c>
      <c r="W482" t="inlineStr">
        <is>
          <t>2003-11-25</t>
        </is>
      </c>
      <c r="X482" t="inlineStr">
        <is>
          <t>2003-11-25</t>
        </is>
      </c>
      <c r="Y482" t="inlineStr">
        <is>
          <t>1990-10-12</t>
        </is>
      </c>
      <c r="Z482" t="inlineStr">
        <is>
          <t>1990-10-12</t>
        </is>
      </c>
      <c r="AA482" t="n">
        <v>1513</v>
      </c>
      <c r="AB482" t="n">
        <v>1428</v>
      </c>
      <c r="AC482" t="n">
        <v>1577</v>
      </c>
      <c r="AD482" t="n">
        <v>7</v>
      </c>
      <c r="AE482" t="n">
        <v>10</v>
      </c>
      <c r="AF482" t="n">
        <v>26</v>
      </c>
      <c r="AG482" t="n">
        <v>29</v>
      </c>
      <c r="AH482" t="n">
        <v>10</v>
      </c>
      <c r="AI482" t="n">
        <v>11</v>
      </c>
      <c r="AJ482" t="n">
        <v>7</v>
      </c>
      <c r="AK482" t="n">
        <v>7</v>
      </c>
      <c r="AL482" t="n">
        <v>12</v>
      </c>
      <c r="AM482" t="n">
        <v>14</v>
      </c>
      <c r="AN482" t="n">
        <v>3</v>
      </c>
      <c r="AO482" t="n">
        <v>4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HYPERLINK("http://catalog.hathitrust.org/Record/001392386","HathiTrust Record")</f>
        <v/>
      </c>
      <c r="AU482">
        <f>HYPERLINK("https://creighton-primo.hosted.exlibrisgroup.com/primo-explore/search?tab=default_tab&amp;search_scope=EVERYTHING&amp;vid=01CRU&amp;lang=en_US&amp;offset=0&amp;query=any,contains,991003496839702656","Catalog Record")</f>
        <v/>
      </c>
      <c r="AV482">
        <f>HYPERLINK("http://www.worldcat.org/oclc/1047008","WorldCat Record")</f>
        <v/>
      </c>
      <c r="AW482" t="inlineStr">
        <is>
          <t>480083:eng</t>
        </is>
      </c>
      <c r="AX482" t="inlineStr">
        <is>
          <t>1047008</t>
        </is>
      </c>
      <c r="AY482" t="inlineStr">
        <is>
          <t>991003496839702656</t>
        </is>
      </c>
      <c r="AZ482" t="inlineStr">
        <is>
          <t>991003496839702656</t>
        </is>
      </c>
      <c r="BA482" t="inlineStr">
        <is>
          <t>2265522350002656</t>
        </is>
      </c>
      <c r="BB482" t="inlineStr">
        <is>
          <t>BOOK</t>
        </is>
      </c>
      <c r="BD482" t="inlineStr">
        <is>
          <t>9780440060482</t>
        </is>
      </c>
      <c r="BE482" t="inlineStr">
        <is>
          <t>32285000346725</t>
        </is>
      </c>
      <c r="BF482" t="inlineStr">
        <is>
          <t>893881220</t>
        </is>
      </c>
    </row>
    <row r="483">
      <c r="A483" t="inlineStr">
        <is>
          <t>No</t>
        </is>
      </c>
      <c r="B483" t="inlineStr">
        <is>
          <t>CURAL</t>
        </is>
      </c>
      <c r="C483" t="inlineStr">
        <is>
          <t>SHELVES</t>
        </is>
      </c>
      <c r="D483" t="inlineStr">
        <is>
          <t>BL630 .H46 1989</t>
        </is>
      </c>
      <c r="E483" t="inlineStr">
        <is>
          <t>0                      BL 0630000H  46          1989</t>
        </is>
      </c>
      <c r="F483" t="inlineStr">
        <is>
          <t>For the sake of the world : the spirit of Buddhist and Christian monasticism / Patrick G. Henry and Donald K. Swearer.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No</t>
        </is>
      </c>
      <c r="L483" t="inlineStr">
        <is>
          <t>0</t>
        </is>
      </c>
      <c r="M483" t="inlineStr">
        <is>
          <t>Henry, Patrick, 1939-</t>
        </is>
      </c>
      <c r="N483" t="inlineStr">
        <is>
          <t>Mineapolis, Minn : Fortress Press ; Collegeville, Minn. : Liturgical Press, c1989.</t>
        </is>
      </c>
      <c r="O483" t="inlineStr">
        <is>
          <t>1989</t>
        </is>
      </c>
      <c r="Q483" t="inlineStr">
        <is>
          <t>eng</t>
        </is>
      </c>
      <c r="R483" t="inlineStr">
        <is>
          <t>pau</t>
        </is>
      </c>
      <c r="T483" t="inlineStr">
        <is>
          <t xml:space="preserve">BL </t>
        </is>
      </c>
      <c r="U483" t="n">
        <v>8</v>
      </c>
      <c r="V483" t="n">
        <v>8</v>
      </c>
      <c r="W483" t="inlineStr">
        <is>
          <t>2002-02-26</t>
        </is>
      </c>
      <c r="X483" t="inlineStr">
        <is>
          <t>2002-02-26</t>
        </is>
      </c>
      <c r="Y483" t="inlineStr">
        <is>
          <t>1990-09-07</t>
        </is>
      </c>
      <c r="Z483" t="inlineStr">
        <is>
          <t>1990-09-07</t>
        </is>
      </c>
      <c r="AA483" t="n">
        <v>372</v>
      </c>
      <c r="AB483" t="n">
        <v>307</v>
      </c>
      <c r="AC483" t="n">
        <v>315</v>
      </c>
      <c r="AD483" t="n">
        <v>4</v>
      </c>
      <c r="AE483" t="n">
        <v>4</v>
      </c>
      <c r="AF483" t="n">
        <v>25</v>
      </c>
      <c r="AG483" t="n">
        <v>25</v>
      </c>
      <c r="AH483" t="n">
        <v>8</v>
      </c>
      <c r="AI483" t="n">
        <v>8</v>
      </c>
      <c r="AJ483" t="n">
        <v>6</v>
      </c>
      <c r="AK483" t="n">
        <v>6</v>
      </c>
      <c r="AL483" t="n">
        <v>15</v>
      </c>
      <c r="AM483" t="n">
        <v>15</v>
      </c>
      <c r="AN483" t="n">
        <v>3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HYPERLINK("http://catalog.hathitrust.org/Record/001103327","HathiTrust Record")</f>
        <v/>
      </c>
      <c r="AU483">
        <f>HYPERLINK("https://creighton-primo.hosted.exlibrisgroup.com/primo-explore/search?tab=default_tab&amp;search_scope=EVERYTHING&amp;vid=01CRU&amp;lang=en_US&amp;offset=0&amp;query=any,contains,991001302789702656","Catalog Record")</f>
        <v/>
      </c>
      <c r="AV483">
        <f>HYPERLINK("http://www.worldcat.org/oclc/18072041","WorldCat Record")</f>
        <v/>
      </c>
      <c r="AW483" t="inlineStr">
        <is>
          <t>16676264:eng</t>
        </is>
      </c>
      <c r="AX483" t="inlineStr">
        <is>
          <t>18072041</t>
        </is>
      </c>
      <c r="AY483" t="inlineStr">
        <is>
          <t>991001302789702656</t>
        </is>
      </c>
      <c r="AZ483" t="inlineStr">
        <is>
          <t>991001302789702656</t>
        </is>
      </c>
      <c r="BA483" t="inlineStr">
        <is>
          <t>2267156770002656</t>
        </is>
      </c>
      <c r="BB483" t="inlineStr">
        <is>
          <t>BOOK</t>
        </is>
      </c>
      <c r="BD483" t="inlineStr">
        <is>
          <t>9780814615881</t>
        </is>
      </c>
      <c r="BE483" t="inlineStr">
        <is>
          <t>32285000276153</t>
        </is>
      </c>
      <c r="BF483" t="inlineStr">
        <is>
          <t>893696649</t>
        </is>
      </c>
    </row>
    <row r="484">
      <c r="A484" t="inlineStr">
        <is>
          <t>No</t>
        </is>
      </c>
      <c r="B484" t="inlineStr">
        <is>
          <t>CURAL</t>
        </is>
      </c>
      <c r="C484" t="inlineStr">
        <is>
          <t>SHELVES</t>
        </is>
      </c>
      <c r="D484" t="inlineStr">
        <is>
          <t>BL631 .B55 1982</t>
        </is>
      </c>
      <c r="E484" t="inlineStr">
        <is>
          <t>0                      BL 0631000B  55          1982</t>
        </is>
      </c>
      <c r="F484" t="inlineStr">
        <is>
          <t>Blessed simplicity--the monk as universal archetype / [edited by] Raimundo Panikkar.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No</t>
        </is>
      </c>
      <c r="L484" t="inlineStr">
        <is>
          <t>0</t>
        </is>
      </c>
      <c r="N484" t="inlineStr">
        <is>
          <t>New York : Seabury Press, 1982.</t>
        </is>
      </c>
      <c r="O484" t="inlineStr">
        <is>
          <t>1982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BL </t>
        </is>
      </c>
      <c r="U484" t="n">
        <v>8</v>
      </c>
      <c r="V484" t="n">
        <v>8</v>
      </c>
      <c r="W484" t="inlineStr">
        <is>
          <t>2009-02-18</t>
        </is>
      </c>
      <c r="X484" t="inlineStr">
        <is>
          <t>2009-02-18</t>
        </is>
      </c>
      <c r="Y484" t="inlineStr">
        <is>
          <t>1990-10-12</t>
        </is>
      </c>
      <c r="Z484" t="inlineStr">
        <is>
          <t>1990-10-12</t>
        </is>
      </c>
      <c r="AA484" t="n">
        <v>321</v>
      </c>
      <c r="AB484" t="n">
        <v>283</v>
      </c>
      <c r="AC484" t="n">
        <v>284</v>
      </c>
      <c r="AD484" t="n">
        <v>2</v>
      </c>
      <c r="AE484" t="n">
        <v>2</v>
      </c>
      <c r="AF484" t="n">
        <v>20</v>
      </c>
      <c r="AG484" t="n">
        <v>20</v>
      </c>
      <c r="AH484" t="n">
        <v>4</v>
      </c>
      <c r="AI484" t="n">
        <v>4</v>
      </c>
      <c r="AJ484" t="n">
        <v>7</v>
      </c>
      <c r="AK484" t="n">
        <v>7</v>
      </c>
      <c r="AL484" t="n">
        <v>16</v>
      </c>
      <c r="AM484" t="n">
        <v>16</v>
      </c>
      <c r="AN484" t="n">
        <v>1</v>
      </c>
      <c r="AO484" t="n">
        <v>1</v>
      </c>
      <c r="AP484" t="n">
        <v>0</v>
      </c>
      <c r="AQ484" t="n">
        <v>0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HYPERLINK("http://catalog.hathitrust.org/Record/002737448","HathiTrust Record")</f>
        <v/>
      </c>
      <c r="AU484">
        <f>HYPERLINK("https://creighton-primo.hosted.exlibrisgroup.com/primo-explore/search?tab=default_tab&amp;search_scope=EVERYTHING&amp;vid=01CRU&amp;lang=en_US&amp;offset=0&amp;query=any,contains,991005244389702656","Catalog Record")</f>
        <v/>
      </c>
      <c r="AV484">
        <f>HYPERLINK("http://www.worldcat.org/oclc/8451399","WorldCat Record")</f>
        <v/>
      </c>
      <c r="AW484" t="inlineStr">
        <is>
          <t>1144105778:eng</t>
        </is>
      </c>
      <c r="AX484" t="inlineStr">
        <is>
          <t>8451399</t>
        </is>
      </c>
      <c r="AY484" t="inlineStr">
        <is>
          <t>991005244389702656</t>
        </is>
      </c>
      <c r="AZ484" t="inlineStr">
        <is>
          <t>991005244389702656</t>
        </is>
      </c>
      <c r="BA484" t="inlineStr">
        <is>
          <t>2266059030002656</t>
        </is>
      </c>
      <c r="BB484" t="inlineStr">
        <is>
          <t>BOOK</t>
        </is>
      </c>
      <c r="BD484" t="inlineStr">
        <is>
          <t>9780816405312</t>
        </is>
      </c>
      <c r="BE484" t="inlineStr">
        <is>
          <t>32285000346824</t>
        </is>
      </c>
      <c r="BF484" t="inlineStr">
        <is>
          <t>893446675</t>
        </is>
      </c>
    </row>
    <row r="485">
      <c r="A485" t="inlineStr">
        <is>
          <t>No</t>
        </is>
      </c>
      <c r="B485" t="inlineStr">
        <is>
          <t>CURAL</t>
        </is>
      </c>
      <c r="C485" t="inlineStr">
        <is>
          <t>SHELVES</t>
        </is>
      </c>
      <c r="D485" t="inlineStr">
        <is>
          <t>BL631 .L413 1963</t>
        </is>
      </c>
      <c r="E485" t="inlineStr">
        <is>
          <t>0                      BL 0631000L  413         1963</t>
        </is>
      </c>
      <c r="F485" t="inlineStr">
        <is>
          <t>Monks and monasteries of the Near East. Translated by Peter Collin.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Leroy, Jules.</t>
        </is>
      </c>
      <c r="N485" t="inlineStr">
        <is>
          <t>London, G. G. Harrap [1963]</t>
        </is>
      </c>
      <c r="O485" t="inlineStr">
        <is>
          <t>1963</t>
        </is>
      </c>
      <c r="Q485" t="inlineStr">
        <is>
          <t>eng</t>
        </is>
      </c>
      <c r="R485" t="inlineStr">
        <is>
          <t>enk</t>
        </is>
      </c>
      <c r="T485" t="inlineStr">
        <is>
          <t xml:space="preserve">BL </t>
        </is>
      </c>
      <c r="U485" t="n">
        <v>3</v>
      </c>
      <c r="V485" t="n">
        <v>3</v>
      </c>
      <c r="W485" t="inlineStr">
        <is>
          <t>1996-09-30</t>
        </is>
      </c>
      <c r="X485" t="inlineStr">
        <is>
          <t>1996-09-30</t>
        </is>
      </c>
      <c r="Y485" t="inlineStr">
        <is>
          <t>1990-10-12</t>
        </is>
      </c>
      <c r="Z485" t="inlineStr">
        <is>
          <t>1990-10-12</t>
        </is>
      </c>
      <c r="AA485" t="n">
        <v>338</v>
      </c>
      <c r="AB485" t="n">
        <v>254</v>
      </c>
      <c r="AC485" t="n">
        <v>283</v>
      </c>
      <c r="AD485" t="n">
        <v>1</v>
      </c>
      <c r="AE485" t="n">
        <v>1</v>
      </c>
      <c r="AF485" t="n">
        <v>17</v>
      </c>
      <c r="AG485" t="n">
        <v>18</v>
      </c>
      <c r="AH485" t="n">
        <v>4</v>
      </c>
      <c r="AI485" t="n">
        <v>5</v>
      </c>
      <c r="AJ485" t="n">
        <v>5</v>
      </c>
      <c r="AK485" t="n">
        <v>5</v>
      </c>
      <c r="AL485" t="n">
        <v>11</v>
      </c>
      <c r="AM485" t="n">
        <v>12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Yes</t>
        </is>
      </c>
      <c r="AT485">
        <f>HYPERLINK("http://catalog.hathitrust.org/Record/001397213","HathiTrust Record")</f>
        <v/>
      </c>
      <c r="AU485">
        <f>HYPERLINK("https://creighton-primo.hosted.exlibrisgroup.com/primo-explore/search?tab=default_tab&amp;search_scope=EVERYTHING&amp;vid=01CRU&amp;lang=en_US&amp;offset=0&amp;query=any,contains,991003566119702656","Catalog Record")</f>
        <v/>
      </c>
      <c r="AV485">
        <f>HYPERLINK("http://www.worldcat.org/oclc/1138648","WorldCat Record")</f>
        <v/>
      </c>
      <c r="AW485" t="inlineStr">
        <is>
          <t>2058490:eng</t>
        </is>
      </c>
      <c r="AX485" t="inlineStr">
        <is>
          <t>1138648</t>
        </is>
      </c>
      <c r="AY485" t="inlineStr">
        <is>
          <t>991003566119702656</t>
        </is>
      </c>
      <c r="AZ485" t="inlineStr">
        <is>
          <t>991003566119702656</t>
        </is>
      </c>
      <c r="BA485" t="inlineStr">
        <is>
          <t>2270479920002656</t>
        </is>
      </c>
      <c r="BB485" t="inlineStr">
        <is>
          <t>BOOK</t>
        </is>
      </c>
      <c r="BE485" t="inlineStr">
        <is>
          <t>32285000346832</t>
        </is>
      </c>
      <c r="BF485" t="inlineStr">
        <is>
          <t>893531308</t>
        </is>
      </c>
    </row>
    <row r="486">
      <c r="A486" t="inlineStr">
        <is>
          <t>No</t>
        </is>
      </c>
      <c r="B486" t="inlineStr">
        <is>
          <t>CURAL</t>
        </is>
      </c>
      <c r="C486" t="inlineStr">
        <is>
          <t>SHELVES</t>
        </is>
      </c>
      <c r="D486" t="inlineStr">
        <is>
          <t>BL633 .R6 1956a</t>
        </is>
      </c>
      <c r="E486" t="inlineStr">
        <is>
          <t>0                      BL 0633000R  6           1956a</t>
        </is>
      </c>
      <c r="F486" t="inlineStr">
        <is>
          <t>Prophecy and religion in ancient China and Israel.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Rowley, H. H. (Harold Henry), 1890-1969.</t>
        </is>
      </c>
      <c r="N486" t="inlineStr">
        <is>
          <t>New York, Harper [1956]</t>
        </is>
      </c>
      <c r="O486" t="inlineStr">
        <is>
          <t>1956</t>
        </is>
      </c>
      <c r="Q486" t="inlineStr">
        <is>
          <t>eng</t>
        </is>
      </c>
      <c r="R486" t="inlineStr">
        <is>
          <t>nyu</t>
        </is>
      </c>
      <c r="T486" t="inlineStr">
        <is>
          <t xml:space="preserve">BL </t>
        </is>
      </c>
      <c r="U486" t="n">
        <v>3</v>
      </c>
      <c r="V486" t="n">
        <v>3</v>
      </c>
      <c r="W486" t="inlineStr">
        <is>
          <t>1993-11-03</t>
        </is>
      </c>
      <c r="X486" t="inlineStr">
        <is>
          <t>1993-11-03</t>
        </is>
      </c>
      <c r="Y486" t="inlineStr">
        <is>
          <t>1990-10-12</t>
        </is>
      </c>
      <c r="Z486" t="inlineStr">
        <is>
          <t>1990-10-12</t>
        </is>
      </c>
      <c r="AA486" t="n">
        <v>389</v>
      </c>
      <c r="AB486" t="n">
        <v>351</v>
      </c>
      <c r="AC486" t="n">
        <v>461</v>
      </c>
      <c r="AD486" t="n">
        <v>3</v>
      </c>
      <c r="AE486" t="n">
        <v>3</v>
      </c>
      <c r="AF486" t="n">
        <v>21</v>
      </c>
      <c r="AG486" t="n">
        <v>27</v>
      </c>
      <c r="AH486" t="n">
        <v>11</v>
      </c>
      <c r="AI486" t="n">
        <v>13</v>
      </c>
      <c r="AJ486" t="n">
        <v>4</v>
      </c>
      <c r="AK486" t="n">
        <v>5</v>
      </c>
      <c r="AL486" t="n">
        <v>9</v>
      </c>
      <c r="AM486" t="n">
        <v>14</v>
      </c>
      <c r="AN486" t="n">
        <v>2</v>
      </c>
      <c r="AO486" t="n">
        <v>2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T486">
        <f>HYPERLINK("http://catalog.hathitrust.org/Record/001392398","HathiTrust Record")</f>
        <v/>
      </c>
      <c r="AU486">
        <f>HYPERLINK("https://creighton-primo.hosted.exlibrisgroup.com/primo-explore/search?tab=default_tab&amp;search_scope=EVERYTHING&amp;vid=01CRU&amp;lang=en_US&amp;offset=0&amp;query=any,contains,991002607399702656","Catalog Record")</f>
        <v/>
      </c>
      <c r="AV486">
        <f>HYPERLINK("http://www.worldcat.org/oclc/377402","WorldCat Record")</f>
        <v/>
      </c>
      <c r="AW486" t="inlineStr">
        <is>
          <t>142484784:eng</t>
        </is>
      </c>
      <c r="AX486" t="inlineStr">
        <is>
          <t>377402</t>
        </is>
      </c>
      <c r="AY486" t="inlineStr">
        <is>
          <t>991002607399702656</t>
        </is>
      </c>
      <c r="AZ486" t="inlineStr">
        <is>
          <t>991002607399702656</t>
        </is>
      </c>
      <c r="BA486" t="inlineStr">
        <is>
          <t>2263022480002656</t>
        </is>
      </c>
      <c r="BB486" t="inlineStr">
        <is>
          <t>BOOK</t>
        </is>
      </c>
      <c r="BE486" t="inlineStr">
        <is>
          <t>32285000346873</t>
        </is>
      </c>
      <c r="BF486" t="inlineStr">
        <is>
          <t>893685542</t>
        </is>
      </c>
    </row>
    <row r="487">
      <c r="A487" t="inlineStr">
        <is>
          <t>No</t>
        </is>
      </c>
      <c r="B487" t="inlineStr">
        <is>
          <t>CURAL</t>
        </is>
      </c>
      <c r="C487" t="inlineStr">
        <is>
          <t>SHELVES</t>
        </is>
      </c>
      <c r="D487" t="inlineStr">
        <is>
          <t>BL635 .J3</t>
        </is>
      </c>
      <c r="E487" t="inlineStr">
        <is>
          <t>0                      BL 0635000J  3</t>
        </is>
      </c>
      <c r="F487" t="inlineStr">
        <is>
          <t>The nature and function of priesthood; a comparative and anthropological study.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James, E. O. (Edwin Oliver), 1888-1972.</t>
        </is>
      </c>
      <c r="N487" t="inlineStr">
        <is>
          <t>New York, Barnes &amp; Noble [c1955], 1961 printing</t>
        </is>
      </c>
      <c r="O487" t="inlineStr">
        <is>
          <t>1955</t>
        </is>
      </c>
      <c r="Q487" t="inlineStr">
        <is>
          <t>eng</t>
        </is>
      </c>
      <c r="R487" t="inlineStr">
        <is>
          <t xml:space="preserve">xx </t>
        </is>
      </c>
      <c r="T487" t="inlineStr">
        <is>
          <t xml:space="preserve">BL </t>
        </is>
      </c>
      <c r="U487" t="n">
        <v>1</v>
      </c>
      <c r="V487" t="n">
        <v>1</v>
      </c>
      <c r="W487" t="inlineStr">
        <is>
          <t>1992-09-29</t>
        </is>
      </c>
      <c r="X487" t="inlineStr">
        <is>
          <t>1992-09-29</t>
        </is>
      </c>
      <c r="Y487" t="inlineStr">
        <is>
          <t>1990-11-12</t>
        </is>
      </c>
      <c r="Z487" t="inlineStr">
        <is>
          <t>1990-11-12</t>
        </is>
      </c>
      <c r="AA487" t="n">
        <v>77</v>
      </c>
      <c r="AB487" t="n">
        <v>69</v>
      </c>
      <c r="AC487" t="n">
        <v>497</v>
      </c>
      <c r="AD487" t="n">
        <v>2</v>
      </c>
      <c r="AE487" t="n">
        <v>3</v>
      </c>
      <c r="AF487" t="n">
        <v>4</v>
      </c>
      <c r="AG487" t="n">
        <v>27</v>
      </c>
      <c r="AH487" t="n">
        <v>1</v>
      </c>
      <c r="AI487" t="n">
        <v>11</v>
      </c>
      <c r="AJ487" t="n">
        <v>2</v>
      </c>
      <c r="AK487" t="n">
        <v>6</v>
      </c>
      <c r="AL487" t="n">
        <v>2</v>
      </c>
      <c r="AM487" t="n">
        <v>14</v>
      </c>
      <c r="AN487" t="n">
        <v>1</v>
      </c>
      <c r="AO487" t="n">
        <v>1</v>
      </c>
      <c r="AP487" t="n">
        <v>0</v>
      </c>
      <c r="AQ487" t="n">
        <v>0</v>
      </c>
      <c r="AR487" t="inlineStr">
        <is>
          <t>No</t>
        </is>
      </c>
      <c r="AS487" t="inlineStr">
        <is>
          <t>No</t>
        </is>
      </c>
      <c r="AU487">
        <f>HYPERLINK("https://creighton-primo.hosted.exlibrisgroup.com/primo-explore/search?tab=default_tab&amp;search_scope=EVERYTHING&amp;vid=01CRU&amp;lang=en_US&amp;offset=0&amp;query=any,contains,991004485099702656","Catalog Record")</f>
        <v/>
      </c>
      <c r="AV487">
        <f>HYPERLINK("http://www.worldcat.org/oclc/3638030","WorldCat Record")</f>
        <v/>
      </c>
      <c r="AW487" t="inlineStr">
        <is>
          <t>197898929:eng</t>
        </is>
      </c>
      <c r="AX487" t="inlineStr">
        <is>
          <t>3638030</t>
        </is>
      </c>
      <c r="AY487" t="inlineStr">
        <is>
          <t>991004485099702656</t>
        </is>
      </c>
      <c r="AZ487" t="inlineStr">
        <is>
          <t>991004485099702656</t>
        </is>
      </c>
      <c r="BA487" t="inlineStr">
        <is>
          <t>2269835350002656</t>
        </is>
      </c>
      <c r="BB487" t="inlineStr">
        <is>
          <t>BOOK</t>
        </is>
      </c>
      <c r="BE487" t="inlineStr">
        <is>
          <t>32285000355510</t>
        </is>
      </c>
      <c r="BF487" t="inlineStr">
        <is>
          <t>893513292</t>
        </is>
      </c>
    </row>
    <row r="488">
      <c r="A488" t="inlineStr">
        <is>
          <t>No</t>
        </is>
      </c>
      <c r="B488" t="inlineStr">
        <is>
          <t>CURAL</t>
        </is>
      </c>
      <c r="C488" t="inlineStr">
        <is>
          <t>SHELVES</t>
        </is>
      </c>
      <c r="D488" t="inlineStr">
        <is>
          <t>BL635 .S18 1973</t>
        </is>
      </c>
      <c r="E488" t="inlineStr">
        <is>
          <t>0                      BL 0635000S  18          1973</t>
        </is>
      </c>
      <c r="F488" t="inlineStr">
        <is>
          <t>Priesthood : a comparative study / by Leopold Sabourin.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Sabourin, Leopold.</t>
        </is>
      </c>
      <c r="N488" t="inlineStr">
        <is>
          <t>Leiden : Brill, 1973.</t>
        </is>
      </c>
      <c r="O488" t="inlineStr">
        <is>
          <t>1973</t>
        </is>
      </c>
      <c r="Q488" t="inlineStr">
        <is>
          <t>eng</t>
        </is>
      </c>
      <c r="R488" t="inlineStr">
        <is>
          <t xml:space="preserve">ne </t>
        </is>
      </c>
      <c r="S488" t="inlineStr">
        <is>
          <t>Studies in the history of religions : Supplements to Numen ; v. 25</t>
        </is>
      </c>
      <c r="T488" t="inlineStr">
        <is>
          <t xml:space="preserve">BL </t>
        </is>
      </c>
      <c r="U488" t="n">
        <v>1</v>
      </c>
      <c r="V488" t="n">
        <v>1</v>
      </c>
      <c r="W488" t="inlineStr">
        <is>
          <t>1992-09-29</t>
        </is>
      </c>
      <c r="X488" t="inlineStr">
        <is>
          <t>1992-09-29</t>
        </is>
      </c>
      <c r="Y488" t="inlineStr">
        <is>
          <t>1990-10-12</t>
        </is>
      </c>
      <c r="Z488" t="inlineStr">
        <is>
          <t>1990-10-12</t>
        </is>
      </c>
      <c r="AA488" t="n">
        <v>368</v>
      </c>
      <c r="AB488" t="n">
        <v>265</v>
      </c>
      <c r="AC488" t="n">
        <v>272</v>
      </c>
      <c r="AD488" t="n">
        <v>2</v>
      </c>
      <c r="AE488" t="n">
        <v>2</v>
      </c>
      <c r="AF488" t="n">
        <v>18</v>
      </c>
      <c r="AG488" t="n">
        <v>18</v>
      </c>
      <c r="AH488" t="n">
        <v>3</v>
      </c>
      <c r="AI488" t="n">
        <v>3</v>
      </c>
      <c r="AJ488" t="n">
        <v>5</v>
      </c>
      <c r="AK488" t="n">
        <v>5</v>
      </c>
      <c r="AL488" t="n">
        <v>13</v>
      </c>
      <c r="AM488" t="n">
        <v>13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HYPERLINK("http://catalog.hathitrust.org/Record/001679701","HathiTrust Record")</f>
        <v/>
      </c>
      <c r="AU488">
        <f>HYPERLINK("https://creighton-primo.hosted.exlibrisgroup.com/primo-explore/search?tab=default_tab&amp;search_scope=EVERYTHING&amp;vid=01CRU&amp;lang=en_US&amp;offset=0&amp;query=any,contains,991003226049702656","Catalog Record")</f>
        <v/>
      </c>
      <c r="AV488">
        <f>HYPERLINK("http://www.worldcat.org/oclc/750307","WorldCat Record")</f>
        <v/>
      </c>
      <c r="AW488" t="inlineStr">
        <is>
          <t>873539742:eng</t>
        </is>
      </c>
      <c r="AX488" t="inlineStr">
        <is>
          <t>750307</t>
        </is>
      </c>
      <c r="AY488" t="inlineStr">
        <is>
          <t>991003226049702656</t>
        </is>
      </c>
      <c r="AZ488" t="inlineStr">
        <is>
          <t>991003226049702656</t>
        </is>
      </c>
      <c r="BA488" t="inlineStr">
        <is>
          <t>2265476330002656</t>
        </is>
      </c>
      <c r="BB488" t="inlineStr">
        <is>
          <t>BOOK</t>
        </is>
      </c>
      <c r="BD488" t="inlineStr">
        <is>
          <t>9789004036567</t>
        </is>
      </c>
      <c r="BE488" t="inlineStr">
        <is>
          <t>32285000346881</t>
        </is>
      </c>
      <c r="BF488" t="inlineStr">
        <is>
          <t>893239985</t>
        </is>
      </c>
    </row>
    <row r="489">
      <c r="A489" t="inlineStr">
        <is>
          <t>No</t>
        </is>
      </c>
      <c r="B489" t="inlineStr">
        <is>
          <t>CURAL</t>
        </is>
      </c>
      <c r="C489" t="inlineStr">
        <is>
          <t>SHELVES</t>
        </is>
      </c>
      <c r="D489" t="inlineStr">
        <is>
          <t>BL639 .H35 1992</t>
        </is>
      </c>
      <c r="E489" t="inlineStr">
        <is>
          <t>0                      BL 0639000H  35          1992</t>
        </is>
      </c>
      <c r="F489" t="inlineStr">
        <is>
          <t>Handbook of religious conversion / edited by H. Newton Malony and Samuel Southard.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Birmingham, Ala. : Religious Education Press, 1992.</t>
        </is>
      </c>
      <c r="O489" t="inlineStr">
        <is>
          <t>1992</t>
        </is>
      </c>
      <c r="Q489" t="inlineStr">
        <is>
          <t>eng</t>
        </is>
      </c>
      <c r="R489" t="inlineStr">
        <is>
          <t>inu</t>
        </is>
      </c>
      <c r="T489" t="inlineStr">
        <is>
          <t xml:space="preserve">BL </t>
        </is>
      </c>
      <c r="U489" t="n">
        <v>6</v>
      </c>
      <c r="V489" t="n">
        <v>6</v>
      </c>
      <c r="W489" t="inlineStr">
        <is>
          <t>2002-10-03</t>
        </is>
      </c>
      <c r="X489" t="inlineStr">
        <is>
          <t>2002-10-03</t>
        </is>
      </c>
      <c r="Y489" t="inlineStr">
        <is>
          <t>1992-10-08</t>
        </is>
      </c>
      <c r="Z489" t="inlineStr">
        <is>
          <t>1992-10-08</t>
        </is>
      </c>
      <c r="AA489" t="n">
        <v>354</v>
      </c>
      <c r="AB489" t="n">
        <v>284</v>
      </c>
      <c r="AC489" t="n">
        <v>284</v>
      </c>
      <c r="AD489" t="n">
        <v>3</v>
      </c>
      <c r="AE489" t="n">
        <v>3</v>
      </c>
      <c r="AF489" t="n">
        <v>22</v>
      </c>
      <c r="AG489" t="n">
        <v>22</v>
      </c>
      <c r="AH489" t="n">
        <v>9</v>
      </c>
      <c r="AI489" t="n">
        <v>9</v>
      </c>
      <c r="AJ489" t="n">
        <v>5</v>
      </c>
      <c r="AK489" t="n">
        <v>5</v>
      </c>
      <c r="AL489" t="n">
        <v>13</v>
      </c>
      <c r="AM489" t="n">
        <v>13</v>
      </c>
      <c r="AN489" t="n">
        <v>2</v>
      </c>
      <c r="AO489" t="n">
        <v>2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HYPERLINK("https://creighton-primo.hosted.exlibrisgroup.com/primo-explore/search?tab=default_tab&amp;search_scope=EVERYTHING&amp;vid=01CRU&amp;lang=en_US&amp;offset=0&amp;query=any,contains,991002010989702656","Catalog Record")</f>
        <v/>
      </c>
      <c r="AV489">
        <f>HYPERLINK("http://www.worldcat.org/oclc/25552776","WorldCat Record")</f>
        <v/>
      </c>
      <c r="AW489" t="inlineStr">
        <is>
          <t>364325398:eng</t>
        </is>
      </c>
      <c r="AX489" t="inlineStr">
        <is>
          <t>25552776</t>
        </is>
      </c>
      <c r="AY489" t="inlineStr">
        <is>
          <t>991002010989702656</t>
        </is>
      </c>
      <c r="AZ489" t="inlineStr">
        <is>
          <t>991002010989702656</t>
        </is>
      </c>
      <c r="BA489" t="inlineStr">
        <is>
          <t>2272505150002656</t>
        </is>
      </c>
      <c r="BB489" t="inlineStr">
        <is>
          <t>BOOK</t>
        </is>
      </c>
      <c r="BD489" t="inlineStr">
        <is>
          <t>9780891350866</t>
        </is>
      </c>
      <c r="BE489" t="inlineStr">
        <is>
          <t>32285001338184</t>
        </is>
      </c>
      <c r="BF489" t="inlineStr">
        <is>
          <t>893879403</t>
        </is>
      </c>
    </row>
    <row r="490">
      <c r="A490" t="inlineStr">
        <is>
          <t>No</t>
        </is>
      </c>
      <c r="B490" t="inlineStr">
        <is>
          <t>CURAL</t>
        </is>
      </c>
      <c r="C490" t="inlineStr">
        <is>
          <t>SHELVES</t>
        </is>
      </c>
      <c r="D490" t="inlineStr">
        <is>
          <t>BL65.A46 R44 1989</t>
        </is>
      </c>
      <c r="E490" t="inlineStr">
        <is>
          <t>0                      BL 0065000A  46                 R  44          1989</t>
        </is>
      </c>
      <c r="F490" t="inlineStr">
        <is>
          <t>Religion, aging, and health : a global perspective / compiled by the World Health Organization ; William M. Clements, editor.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N490" t="inlineStr">
        <is>
          <t>New York : Haworth Press, c1989.</t>
        </is>
      </c>
      <c r="O490" t="inlineStr">
        <is>
          <t>1989</t>
        </is>
      </c>
      <c r="Q490" t="inlineStr">
        <is>
          <t>eng</t>
        </is>
      </c>
      <c r="R490" t="inlineStr">
        <is>
          <t>nyu</t>
        </is>
      </c>
      <c r="T490" t="inlineStr">
        <is>
          <t xml:space="preserve">BL </t>
        </is>
      </c>
      <c r="U490" t="n">
        <v>6</v>
      </c>
      <c r="V490" t="n">
        <v>6</v>
      </c>
      <c r="W490" t="inlineStr">
        <is>
          <t>1995-11-13</t>
        </is>
      </c>
      <c r="X490" t="inlineStr">
        <is>
          <t>1995-11-13</t>
        </is>
      </c>
      <c r="Y490" t="inlineStr">
        <is>
          <t>1992-06-10</t>
        </is>
      </c>
      <c r="Z490" t="inlineStr">
        <is>
          <t>1992-06-10</t>
        </is>
      </c>
      <c r="AA490" t="n">
        <v>243</v>
      </c>
      <c r="AB490" t="n">
        <v>188</v>
      </c>
      <c r="AC490" t="n">
        <v>210</v>
      </c>
      <c r="AD490" t="n">
        <v>3</v>
      </c>
      <c r="AE490" t="n">
        <v>3</v>
      </c>
      <c r="AF490" t="n">
        <v>13</v>
      </c>
      <c r="AG490" t="n">
        <v>13</v>
      </c>
      <c r="AH490" t="n">
        <v>5</v>
      </c>
      <c r="AI490" t="n">
        <v>5</v>
      </c>
      <c r="AJ490" t="n">
        <v>1</v>
      </c>
      <c r="AK490" t="n">
        <v>1</v>
      </c>
      <c r="AL490" t="n">
        <v>6</v>
      </c>
      <c r="AM490" t="n">
        <v>6</v>
      </c>
      <c r="AN490" t="n">
        <v>2</v>
      </c>
      <c r="AO490" t="n">
        <v>2</v>
      </c>
      <c r="AP490" t="n">
        <v>0</v>
      </c>
      <c r="AQ490" t="n">
        <v>0</v>
      </c>
      <c r="AR490" t="inlineStr">
        <is>
          <t>No</t>
        </is>
      </c>
      <c r="AS490" t="inlineStr">
        <is>
          <t>No</t>
        </is>
      </c>
      <c r="AU490">
        <f>HYPERLINK("https://creighton-primo.hosted.exlibrisgroup.com/primo-explore/search?tab=default_tab&amp;search_scope=EVERYTHING&amp;vid=01CRU&amp;lang=en_US&amp;offset=0&amp;query=any,contains,991001296479702656","Catalog Record")</f>
        <v/>
      </c>
      <c r="AV490">
        <f>HYPERLINK("http://www.worldcat.org/oclc/18048960","WorldCat Record")</f>
        <v/>
      </c>
      <c r="AW490" t="inlineStr">
        <is>
          <t>479248671:eng</t>
        </is>
      </c>
      <c r="AX490" t="inlineStr">
        <is>
          <t>18048960</t>
        </is>
      </c>
      <c r="AY490" t="inlineStr">
        <is>
          <t>991001296479702656</t>
        </is>
      </c>
      <c r="AZ490" t="inlineStr">
        <is>
          <t>991001296479702656</t>
        </is>
      </c>
      <c r="BA490" t="inlineStr">
        <is>
          <t>2260065000002656</t>
        </is>
      </c>
      <c r="BB490" t="inlineStr">
        <is>
          <t>BOOK</t>
        </is>
      </c>
      <c r="BD490" t="inlineStr">
        <is>
          <t>9780866568036</t>
        </is>
      </c>
      <c r="BE490" t="inlineStr">
        <is>
          <t>32285001127140</t>
        </is>
      </c>
      <c r="BF490" t="inlineStr">
        <is>
          <t>893516100</t>
        </is>
      </c>
    </row>
    <row r="491">
      <c r="A491" t="inlineStr">
        <is>
          <t>No</t>
        </is>
      </c>
      <c r="B491" t="inlineStr">
        <is>
          <t>CURAL</t>
        </is>
      </c>
      <c r="C491" t="inlineStr">
        <is>
          <t>SHELVES</t>
        </is>
      </c>
      <c r="D491" t="inlineStr">
        <is>
          <t>BL65.C58 H84 1988</t>
        </is>
      </c>
      <c r="E491" t="inlineStr">
        <is>
          <t>0                      BL 0065000C  58                 H  84          1988</t>
        </is>
      </c>
      <c r="F491" t="inlineStr">
        <is>
          <t>Human rights and the world's religions / edited by Leroy S. Rouner.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N491" t="inlineStr">
        <is>
          <t>Notre Dame, Ind. : University of Notre Dame Press, c1988.</t>
        </is>
      </c>
      <c r="O491" t="inlineStr">
        <is>
          <t>1988</t>
        </is>
      </c>
      <c r="Q491" t="inlineStr">
        <is>
          <t>eng</t>
        </is>
      </c>
      <c r="R491" t="inlineStr">
        <is>
          <t>inu</t>
        </is>
      </c>
      <c r="S491" t="inlineStr">
        <is>
          <t>Boston University studies in philosophy and religion ; v. 9</t>
        </is>
      </c>
      <c r="T491" t="inlineStr">
        <is>
          <t xml:space="preserve">BL </t>
        </is>
      </c>
      <c r="U491" t="n">
        <v>3</v>
      </c>
      <c r="V491" t="n">
        <v>3</v>
      </c>
      <c r="W491" t="inlineStr">
        <is>
          <t>2001-04-21</t>
        </is>
      </c>
      <c r="X491" t="inlineStr">
        <is>
          <t>2001-04-21</t>
        </is>
      </c>
      <c r="Y491" t="inlineStr">
        <is>
          <t>1991-01-24</t>
        </is>
      </c>
      <c r="Z491" t="inlineStr">
        <is>
          <t>1991-01-24</t>
        </is>
      </c>
      <c r="AA491" t="n">
        <v>624</v>
      </c>
      <c r="AB491" t="n">
        <v>518</v>
      </c>
      <c r="AC491" t="n">
        <v>520</v>
      </c>
      <c r="AD491" t="n">
        <v>3</v>
      </c>
      <c r="AE491" t="n">
        <v>3</v>
      </c>
      <c r="AF491" t="n">
        <v>38</v>
      </c>
      <c r="AG491" t="n">
        <v>38</v>
      </c>
      <c r="AH491" t="n">
        <v>11</v>
      </c>
      <c r="AI491" t="n">
        <v>11</v>
      </c>
      <c r="AJ491" t="n">
        <v>9</v>
      </c>
      <c r="AK491" t="n">
        <v>9</v>
      </c>
      <c r="AL491" t="n">
        <v>19</v>
      </c>
      <c r="AM491" t="n">
        <v>19</v>
      </c>
      <c r="AN491" t="n">
        <v>2</v>
      </c>
      <c r="AO491" t="n">
        <v>2</v>
      </c>
      <c r="AP491" t="n">
        <v>7</v>
      </c>
      <c r="AQ491" t="n">
        <v>7</v>
      </c>
      <c r="AR491" t="inlineStr">
        <is>
          <t>No</t>
        </is>
      </c>
      <c r="AS491" t="inlineStr">
        <is>
          <t>Yes</t>
        </is>
      </c>
      <c r="AT491">
        <f>HYPERLINK("http://catalog.hathitrust.org/Record/000949384","HathiTrust Record")</f>
        <v/>
      </c>
      <c r="AU491">
        <f>HYPERLINK("https://creighton-primo.hosted.exlibrisgroup.com/primo-explore/search?tab=default_tab&amp;search_scope=EVERYTHING&amp;vid=01CRU&amp;lang=en_US&amp;offset=0&amp;query=any,contains,991001301139702656","Catalog Record")</f>
        <v/>
      </c>
      <c r="AV491">
        <f>HYPERLINK("http://www.worldcat.org/oclc/18069677","WorldCat Record")</f>
        <v/>
      </c>
      <c r="AW491" t="inlineStr">
        <is>
          <t>55104415:eng</t>
        </is>
      </c>
      <c r="AX491" t="inlineStr">
        <is>
          <t>18069677</t>
        </is>
      </c>
      <c r="AY491" t="inlineStr">
        <is>
          <t>991001301139702656</t>
        </is>
      </c>
      <c r="AZ491" t="inlineStr">
        <is>
          <t>991001301139702656</t>
        </is>
      </c>
      <c r="BA491" t="inlineStr">
        <is>
          <t>2262618460002656</t>
        </is>
      </c>
      <c r="BB491" t="inlineStr">
        <is>
          <t>BOOK</t>
        </is>
      </c>
      <c r="BD491" t="inlineStr">
        <is>
          <t>9780268010867</t>
        </is>
      </c>
      <c r="BE491" t="inlineStr">
        <is>
          <t>32285000460161</t>
        </is>
      </c>
      <c r="BF491" t="inlineStr">
        <is>
          <t>893803537</t>
        </is>
      </c>
    </row>
    <row r="492">
      <c r="A492" t="inlineStr">
        <is>
          <t>No</t>
        </is>
      </c>
      <c r="B492" t="inlineStr">
        <is>
          <t>CURAL</t>
        </is>
      </c>
      <c r="C492" t="inlineStr">
        <is>
          <t>SHELVES</t>
        </is>
      </c>
      <c r="D492" t="inlineStr">
        <is>
          <t>BL65.C8 B46</t>
        </is>
      </c>
      <c r="E492" t="inlineStr">
        <is>
          <t>0                      BL 0065000C  8                  B  46</t>
        </is>
      </c>
      <c r="F492" t="inlineStr">
        <is>
          <t>The Bent world : essays on religion and culture / [edited by] John R. May.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Chico, Calif. : Scholars Press, c1981.</t>
        </is>
      </c>
      <c r="O492" t="inlineStr">
        <is>
          <t>1981</t>
        </is>
      </c>
      <c r="Q492" t="inlineStr">
        <is>
          <t>eng</t>
        </is>
      </c>
      <c r="R492" t="inlineStr">
        <is>
          <t>cau</t>
        </is>
      </c>
      <c r="S492" t="inlineStr">
        <is>
          <t>The Annual publication of the College Theology Society</t>
        </is>
      </c>
      <c r="T492" t="inlineStr">
        <is>
          <t xml:space="preserve">BL </t>
        </is>
      </c>
      <c r="U492" t="n">
        <v>4</v>
      </c>
      <c r="V492" t="n">
        <v>4</v>
      </c>
      <c r="W492" t="inlineStr">
        <is>
          <t>2002-10-28</t>
        </is>
      </c>
      <c r="X492" t="inlineStr">
        <is>
          <t>2002-10-28</t>
        </is>
      </c>
      <c r="Y492" t="inlineStr">
        <is>
          <t>1990-09-28</t>
        </is>
      </c>
      <c r="Z492" t="inlineStr">
        <is>
          <t>1990-09-28</t>
        </is>
      </c>
      <c r="AA492" t="n">
        <v>193</v>
      </c>
      <c r="AB492" t="n">
        <v>174</v>
      </c>
      <c r="AC492" t="n">
        <v>180</v>
      </c>
      <c r="AD492" t="n">
        <v>2</v>
      </c>
      <c r="AE492" t="n">
        <v>2</v>
      </c>
      <c r="AF492" t="n">
        <v>27</v>
      </c>
      <c r="AG492" t="n">
        <v>27</v>
      </c>
      <c r="AH492" t="n">
        <v>7</v>
      </c>
      <c r="AI492" t="n">
        <v>7</v>
      </c>
      <c r="AJ492" t="n">
        <v>9</v>
      </c>
      <c r="AK492" t="n">
        <v>9</v>
      </c>
      <c r="AL492" t="n">
        <v>19</v>
      </c>
      <c r="AM492" t="n">
        <v>19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Yes</t>
        </is>
      </c>
      <c r="AT492">
        <f>HYPERLINK("http://catalog.hathitrust.org/Record/000767307","HathiTrust Record")</f>
        <v/>
      </c>
      <c r="AU492">
        <f>HYPERLINK("https://creighton-primo.hosted.exlibrisgroup.com/primo-explore/search?tab=default_tab&amp;search_scope=EVERYTHING&amp;vid=01CRU&amp;lang=en_US&amp;offset=0&amp;query=any,contains,991005123679702656","Catalog Record")</f>
        <v/>
      </c>
      <c r="AV492">
        <f>HYPERLINK("http://www.worldcat.org/oclc/8242904","WorldCat Record")</f>
        <v/>
      </c>
      <c r="AW492" t="inlineStr">
        <is>
          <t>836690885:eng</t>
        </is>
      </c>
      <c r="AX492" t="inlineStr">
        <is>
          <t>8242904</t>
        </is>
      </c>
      <c r="AY492" t="inlineStr">
        <is>
          <t>991005123679702656</t>
        </is>
      </c>
      <c r="AZ492" t="inlineStr">
        <is>
          <t>991005123679702656</t>
        </is>
      </c>
      <c r="BA492" t="inlineStr">
        <is>
          <t>2266042850002656</t>
        </is>
      </c>
      <c r="BB492" t="inlineStr">
        <is>
          <t>BOOK</t>
        </is>
      </c>
      <c r="BD492" t="inlineStr">
        <is>
          <t>9780891305033</t>
        </is>
      </c>
      <c r="BE492" t="inlineStr">
        <is>
          <t>32285000323658</t>
        </is>
      </c>
      <c r="BF492" t="inlineStr">
        <is>
          <t>893412352</t>
        </is>
      </c>
    </row>
    <row r="493">
      <c r="A493" t="inlineStr">
        <is>
          <t>No</t>
        </is>
      </c>
      <c r="B493" t="inlineStr">
        <is>
          <t>CURAL</t>
        </is>
      </c>
      <c r="C493" t="inlineStr">
        <is>
          <t>SHELVES</t>
        </is>
      </c>
      <c r="D493" t="inlineStr">
        <is>
          <t>BL65.C8 C6</t>
        </is>
      </c>
      <c r="E493" t="inlineStr">
        <is>
          <t>0                      BL 0065000C  8                  C  6</t>
        </is>
      </c>
      <c r="F493" t="inlineStr">
        <is>
          <t>Theology in an age of revolution, by Bernard Cooke.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No</t>
        </is>
      </c>
      <c r="L493" t="inlineStr">
        <is>
          <t>0</t>
        </is>
      </c>
      <c r="M493" t="inlineStr">
        <is>
          <t>Cooke, Bernard J., 1922-</t>
        </is>
      </c>
      <c r="N493" t="inlineStr">
        <is>
          <t>Denville, N. J., Dimension Books [n. d.]</t>
        </is>
      </c>
      <c r="Q493" t="inlineStr">
        <is>
          <t>eng</t>
        </is>
      </c>
      <c r="R493" t="inlineStr">
        <is>
          <t>___</t>
        </is>
      </c>
      <c r="T493" t="inlineStr">
        <is>
          <t xml:space="preserve">BL </t>
        </is>
      </c>
      <c r="U493" t="n">
        <v>2</v>
      </c>
      <c r="V493" t="n">
        <v>2</v>
      </c>
      <c r="W493" t="inlineStr">
        <is>
          <t>1994-04-13</t>
        </is>
      </c>
      <c r="X493" t="inlineStr">
        <is>
          <t>1994-04-13</t>
        </is>
      </c>
      <c r="Y493" t="inlineStr">
        <is>
          <t>1990-09-28</t>
        </is>
      </c>
      <c r="Z493" t="inlineStr">
        <is>
          <t>1990-09-28</t>
        </is>
      </c>
      <c r="AA493" t="n">
        <v>52</v>
      </c>
      <c r="AB493" t="n">
        <v>49</v>
      </c>
      <c r="AC493" t="n">
        <v>76</v>
      </c>
      <c r="AD493" t="n">
        <v>1</v>
      </c>
      <c r="AE493" t="n">
        <v>1</v>
      </c>
      <c r="AF493" t="n">
        <v>8</v>
      </c>
      <c r="AG493" t="n">
        <v>11</v>
      </c>
      <c r="AH493" t="n">
        <v>2</v>
      </c>
      <c r="AI493" t="n">
        <v>2</v>
      </c>
      <c r="AJ493" t="n">
        <v>2</v>
      </c>
      <c r="AK493" t="n">
        <v>4</v>
      </c>
      <c r="AL493" t="n">
        <v>7</v>
      </c>
      <c r="AM493" t="n">
        <v>9</v>
      </c>
      <c r="AN493" t="n">
        <v>0</v>
      </c>
      <c r="AO493" t="n">
        <v>0</v>
      </c>
      <c r="AP493" t="n">
        <v>0</v>
      </c>
      <c r="AQ493" t="n">
        <v>0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HYPERLINK("https://creighton-primo.hosted.exlibrisgroup.com/primo-explore/search?tab=default_tab&amp;search_scope=EVERYTHING&amp;vid=01CRU&amp;lang=en_US&amp;offset=0&amp;query=any,contains,991003169719702656","Catalog Record")</f>
        <v/>
      </c>
      <c r="AV493">
        <f>HYPERLINK("http://www.worldcat.org/oclc/706374","WorldCat Record")</f>
        <v/>
      </c>
      <c r="AW493" t="inlineStr">
        <is>
          <t>422806035:eng</t>
        </is>
      </c>
      <c r="AX493" t="inlineStr">
        <is>
          <t>706374</t>
        </is>
      </c>
      <c r="AY493" t="inlineStr">
        <is>
          <t>991003169719702656</t>
        </is>
      </c>
      <c r="AZ493" t="inlineStr">
        <is>
          <t>991003169719702656</t>
        </is>
      </c>
      <c r="BA493" t="inlineStr">
        <is>
          <t>2258506470002656</t>
        </is>
      </c>
      <c r="BB493" t="inlineStr">
        <is>
          <t>BOOK</t>
        </is>
      </c>
      <c r="BE493" t="inlineStr">
        <is>
          <t>32285000323666</t>
        </is>
      </c>
      <c r="BF493" t="inlineStr">
        <is>
          <t>893787035</t>
        </is>
      </c>
    </row>
    <row r="494">
      <c r="A494" t="inlineStr">
        <is>
          <t>No</t>
        </is>
      </c>
      <c r="B494" t="inlineStr">
        <is>
          <t>CURAL</t>
        </is>
      </c>
      <c r="C494" t="inlineStr">
        <is>
          <t>SHELVES</t>
        </is>
      </c>
      <c r="D494" t="inlineStr">
        <is>
          <t>BL65.C8 G54</t>
        </is>
      </c>
      <c r="E494" t="inlineStr">
        <is>
          <t>0                      BL 0065000C  8                  G  54</t>
        </is>
      </c>
      <c r="F494" t="inlineStr">
        <is>
          <t>Society and the sacred : toward a theology of culture in decline / Langdon Gilkey.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M494" t="inlineStr">
        <is>
          <t>Gilkey, Langdon, 1919-2004.</t>
        </is>
      </c>
      <c r="N494" t="inlineStr">
        <is>
          <t>New York : Crossroad, c1981.</t>
        </is>
      </c>
      <c r="O494" t="inlineStr">
        <is>
          <t>1981</t>
        </is>
      </c>
      <c r="Q494" t="inlineStr">
        <is>
          <t>eng</t>
        </is>
      </c>
      <c r="R494" t="inlineStr">
        <is>
          <t>nyu</t>
        </is>
      </c>
      <c r="T494" t="inlineStr">
        <is>
          <t xml:space="preserve">BL </t>
        </is>
      </c>
      <c r="U494" t="n">
        <v>2</v>
      </c>
      <c r="V494" t="n">
        <v>2</v>
      </c>
      <c r="W494" t="inlineStr">
        <is>
          <t>2000-10-26</t>
        </is>
      </c>
      <c r="X494" t="inlineStr">
        <is>
          <t>2000-10-26</t>
        </is>
      </c>
      <c r="Y494" t="inlineStr">
        <is>
          <t>1990-09-28</t>
        </is>
      </c>
      <c r="Z494" t="inlineStr">
        <is>
          <t>1990-09-28</t>
        </is>
      </c>
      <c r="AA494" t="n">
        <v>626</v>
      </c>
      <c r="AB494" t="n">
        <v>529</v>
      </c>
      <c r="AC494" t="n">
        <v>536</v>
      </c>
      <c r="AD494" t="n">
        <v>4</v>
      </c>
      <c r="AE494" t="n">
        <v>4</v>
      </c>
      <c r="AF494" t="n">
        <v>37</v>
      </c>
      <c r="AG494" t="n">
        <v>37</v>
      </c>
      <c r="AH494" t="n">
        <v>18</v>
      </c>
      <c r="AI494" t="n">
        <v>18</v>
      </c>
      <c r="AJ494" t="n">
        <v>5</v>
      </c>
      <c r="AK494" t="n">
        <v>5</v>
      </c>
      <c r="AL494" t="n">
        <v>22</v>
      </c>
      <c r="AM494" t="n">
        <v>22</v>
      </c>
      <c r="AN494" t="n">
        <v>3</v>
      </c>
      <c r="AO494" t="n">
        <v>3</v>
      </c>
      <c r="AP494" t="n">
        <v>0</v>
      </c>
      <c r="AQ494" t="n">
        <v>0</v>
      </c>
      <c r="AR494" t="inlineStr">
        <is>
          <t>No</t>
        </is>
      </c>
      <c r="AS494" t="inlineStr">
        <is>
          <t>Yes</t>
        </is>
      </c>
      <c r="AT494">
        <f>HYPERLINK("http://catalog.hathitrust.org/Record/000185008","HathiTrust Record")</f>
        <v/>
      </c>
      <c r="AU494">
        <f>HYPERLINK("https://creighton-primo.hosted.exlibrisgroup.com/primo-explore/search?tab=default_tab&amp;search_scope=EVERYTHING&amp;vid=01CRU&amp;lang=en_US&amp;offset=0&amp;query=any,contains,991005136689702656","Catalog Record")</f>
        <v/>
      </c>
      <c r="AV494">
        <f>HYPERLINK("http://www.worldcat.org/oclc/7577921","WorldCat Record")</f>
        <v/>
      </c>
      <c r="AW494" t="inlineStr">
        <is>
          <t>892152294:eng</t>
        </is>
      </c>
      <c r="AX494" t="inlineStr">
        <is>
          <t>7577921</t>
        </is>
      </c>
      <c r="AY494" t="inlineStr">
        <is>
          <t>991005136689702656</t>
        </is>
      </c>
      <c r="AZ494" t="inlineStr">
        <is>
          <t>991005136689702656</t>
        </is>
      </c>
      <c r="BA494" t="inlineStr">
        <is>
          <t>2264644710002656</t>
        </is>
      </c>
      <c r="BB494" t="inlineStr">
        <is>
          <t>BOOK</t>
        </is>
      </c>
      <c r="BD494" t="inlineStr">
        <is>
          <t>9780824500894</t>
        </is>
      </c>
      <c r="BE494" t="inlineStr">
        <is>
          <t>32285000323674</t>
        </is>
      </c>
      <c r="BF494" t="inlineStr">
        <is>
          <t>893326221</t>
        </is>
      </c>
    </row>
    <row r="495">
      <c r="A495" t="inlineStr">
        <is>
          <t>No</t>
        </is>
      </c>
      <c r="B495" t="inlineStr">
        <is>
          <t>CURAL</t>
        </is>
      </c>
      <c r="C495" t="inlineStr">
        <is>
          <t>SHELVES</t>
        </is>
      </c>
      <c r="D495" t="inlineStr">
        <is>
          <t>BL65.C8 S36 1971</t>
        </is>
      </c>
      <c r="E495" t="inlineStr">
        <is>
          <t>0                      BL 0065000C  8                  S  36          1971</t>
        </is>
      </c>
      <c r="F495" t="inlineStr">
        <is>
          <t>The wild prayer of longing; poetry and the sacred [by] Nathan A. Scott, Jr.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M495" t="inlineStr">
        <is>
          <t>Scott, Nathan A.</t>
        </is>
      </c>
      <c r="N495" t="inlineStr">
        <is>
          <t>New Haven, Yale University Press, 1971.</t>
        </is>
      </c>
      <c r="O495" t="inlineStr">
        <is>
          <t>1971</t>
        </is>
      </c>
      <c r="Q495" t="inlineStr">
        <is>
          <t>eng</t>
        </is>
      </c>
      <c r="R495" t="inlineStr">
        <is>
          <t>ctu</t>
        </is>
      </c>
      <c r="T495" t="inlineStr">
        <is>
          <t xml:space="preserve">BL </t>
        </is>
      </c>
      <c r="U495" t="n">
        <v>5</v>
      </c>
      <c r="V495" t="n">
        <v>5</v>
      </c>
      <c r="W495" t="inlineStr">
        <is>
          <t>1997-04-23</t>
        </is>
      </c>
      <c r="X495" t="inlineStr">
        <is>
          <t>1997-04-23</t>
        </is>
      </c>
      <c r="Y495" t="inlineStr">
        <is>
          <t>1990-09-28</t>
        </is>
      </c>
      <c r="Z495" t="inlineStr">
        <is>
          <t>1990-09-28</t>
        </is>
      </c>
      <c r="AA495" t="n">
        <v>777</v>
      </c>
      <c r="AB495" t="n">
        <v>682</v>
      </c>
      <c r="AC495" t="n">
        <v>684</v>
      </c>
      <c r="AD495" t="n">
        <v>5</v>
      </c>
      <c r="AE495" t="n">
        <v>5</v>
      </c>
      <c r="AF495" t="n">
        <v>37</v>
      </c>
      <c r="AG495" t="n">
        <v>37</v>
      </c>
      <c r="AH495" t="n">
        <v>11</v>
      </c>
      <c r="AI495" t="n">
        <v>11</v>
      </c>
      <c r="AJ495" t="n">
        <v>9</v>
      </c>
      <c r="AK495" t="n">
        <v>9</v>
      </c>
      <c r="AL495" t="n">
        <v>24</v>
      </c>
      <c r="AM495" t="n">
        <v>24</v>
      </c>
      <c r="AN495" t="n">
        <v>3</v>
      </c>
      <c r="AO495" t="n">
        <v>3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HYPERLINK("http://catalog.hathitrust.org/Record/001921611","HathiTrust Record")</f>
        <v/>
      </c>
      <c r="AU495">
        <f>HYPERLINK("https://creighton-primo.hosted.exlibrisgroup.com/primo-explore/search?tab=default_tab&amp;search_scope=EVERYTHING&amp;vid=01CRU&amp;lang=en_US&amp;offset=0&amp;query=any,contains,991000706679702656","Catalog Record")</f>
        <v/>
      </c>
      <c r="AV495">
        <f>HYPERLINK("http://www.worldcat.org/oclc/124567","WorldCat Record")</f>
        <v/>
      </c>
      <c r="AW495" t="inlineStr">
        <is>
          <t>20888408:eng</t>
        </is>
      </c>
      <c r="AX495" t="inlineStr">
        <is>
          <t>124567</t>
        </is>
      </c>
      <c r="AY495" t="inlineStr">
        <is>
          <t>991000706679702656</t>
        </is>
      </c>
      <c r="AZ495" t="inlineStr">
        <is>
          <t>991000706679702656</t>
        </is>
      </c>
      <c r="BA495" t="inlineStr">
        <is>
          <t>2259729260002656</t>
        </is>
      </c>
      <c r="BB495" t="inlineStr">
        <is>
          <t>BOOK</t>
        </is>
      </c>
      <c r="BD495" t="inlineStr">
        <is>
          <t>9780300013894</t>
        </is>
      </c>
      <c r="BE495" t="inlineStr">
        <is>
          <t>32285000323690</t>
        </is>
      </c>
      <c r="BF495" t="inlineStr">
        <is>
          <t>893683688</t>
        </is>
      </c>
    </row>
    <row r="496">
      <c r="A496" t="inlineStr">
        <is>
          <t>No</t>
        </is>
      </c>
      <c r="B496" t="inlineStr">
        <is>
          <t>CURAL</t>
        </is>
      </c>
      <c r="C496" t="inlineStr">
        <is>
          <t>SHELVES</t>
        </is>
      </c>
      <c r="D496" t="inlineStr">
        <is>
          <t>BL65.H5 W4 1991, v.3</t>
        </is>
      </c>
      <c r="E496" t="inlineStr">
        <is>
          <t>0                      BL 0065000H  5                  W  4           1991                  v.3</t>
        </is>
      </c>
      <c r="F496" t="inlineStr">
        <is>
          <t>Jesus, not Caesar : the religious world view of Thomas Garrigue Masaryk and the spiritual foundations of Czech and Slovak Culture / Jaroslav Pelikan.</t>
        </is>
      </c>
      <c r="G496" t="inlineStr">
        <is>
          <t>V.3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Pelikan, Jaroslav, 1923-2006.</t>
        </is>
      </c>
      <c r="N496" t="inlineStr">
        <is>
          <t>Salt Lake City : Westminister College of Salt Lake City, c1991.</t>
        </is>
      </c>
      <c r="O496" t="inlineStr">
        <is>
          <t>1991</t>
        </is>
      </c>
      <c r="Q496" t="inlineStr">
        <is>
          <t>eng</t>
        </is>
      </c>
      <c r="R496" t="inlineStr">
        <is>
          <t>utu</t>
        </is>
      </c>
      <c r="S496" t="inlineStr">
        <is>
          <t>Westminster Tanner-McMurrin lectures on the history and philosophy of religion at Westminster College ; 3</t>
        </is>
      </c>
      <c r="T496" t="inlineStr">
        <is>
          <t xml:space="preserve">BL </t>
        </is>
      </c>
      <c r="U496" t="n">
        <v>1</v>
      </c>
      <c r="V496" t="n">
        <v>1</v>
      </c>
      <c r="W496" t="inlineStr">
        <is>
          <t>1992-07-26</t>
        </is>
      </c>
      <c r="X496" t="inlineStr">
        <is>
          <t>1992-07-26</t>
        </is>
      </c>
      <c r="Y496" t="inlineStr">
        <is>
          <t>1992-05-08</t>
        </is>
      </c>
      <c r="Z496" t="inlineStr">
        <is>
          <t>1992-05-08</t>
        </is>
      </c>
      <c r="AA496" t="n">
        <v>293</v>
      </c>
      <c r="AB496" t="n">
        <v>292</v>
      </c>
      <c r="AC496" t="n">
        <v>293</v>
      </c>
      <c r="AD496" t="n">
        <v>7</v>
      </c>
      <c r="AE496" t="n">
        <v>7</v>
      </c>
      <c r="AF496" t="n">
        <v>17</v>
      </c>
      <c r="AG496" t="n">
        <v>17</v>
      </c>
      <c r="AH496" t="n">
        <v>3</v>
      </c>
      <c r="AI496" t="n">
        <v>3</v>
      </c>
      <c r="AJ496" t="n">
        <v>3</v>
      </c>
      <c r="AK496" t="n">
        <v>3</v>
      </c>
      <c r="AL496" t="n">
        <v>7</v>
      </c>
      <c r="AM496" t="n">
        <v>7</v>
      </c>
      <c r="AN496" t="n">
        <v>6</v>
      </c>
      <c r="AO496" t="n">
        <v>6</v>
      </c>
      <c r="AP496" t="n">
        <v>0</v>
      </c>
      <c r="AQ496" t="n">
        <v>0</v>
      </c>
      <c r="AR496" t="inlineStr">
        <is>
          <t>No</t>
        </is>
      </c>
      <c r="AS496" t="inlineStr">
        <is>
          <t>No</t>
        </is>
      </c>
      <c r="AU496">
        <f>HYPERLINK("https://creighton-primo.hosted.exlibrisgroup.com/primo-explore/search?tab=default_tab&amp;search_scope=EVERYTHING&amp;vid=01CRU&amp;lang=en_US&amp;offset=0&amp;query=any,contains,991001995089702656","Catalog Record")</f>
        <v/>
      </c>
      <c r="AV496">
        <f>HYPERLINK("http://www.worldcat.org/oclc/25363979","WorldCat Record")</f>
        <v/>
      </c>
      <c r="AW496" t="inlineStr">
        <is>
          <t>5218300390:eng</t>
        </is>
      </c>
      <c r="AX496" t="inlineStr">
        <is>
          <t>25363979</t>
        </is>
      </c>
      <c r="AY496" t="inlineStr">
        <is>
          <t>991001995089702656</t>
        </is>
      </c>
      <c r="AZ496" t="inlineStr">
        <is>
          <t>991001995089702656</t>
        </is>
      </c>
      <c r="BA496" t="inlineStr">
        <is>
          <t>2258145000002656</t>
        </is>
      </c>
      <c r="BB496" t="inlineStr">
        <is>
          <t>BOOK</t>
        </is>
      </c>
      <c r="BE496" t="inlineStr">
        <is>
          <t>32285001100899</t>
        </is>
      </c>
      <c r="BF496" t="inlineStr">
        <is>
          <t>893621793</t>
        </is>
      </c>
    </row>
    <row r="497">
      <c r="A497" t="inlineStr">
        <is>
          <t>No</t>
        </is>
      </c>
      <c r="B497" t="inlineStr">
        <is>
          <t>CURAL</t>
        </is>
      </c>
      <c r="C497" t="inlineStr">
        <is>
          <t>SHELVES</t>
        </is>
      </c>
      <c r="D497" t="inlineStr">
        <is>
          <t>BL65.I43 R45 1986</t>
        </is>
      </c>
      <c r="E497" t="inlineStr">
        <is>
          <t>0                      BL 0065000I  43                 R  45          1986</t>
        </is>
      </c>
      <c r="F497" t="inlineStr">
        <is>
          <t>Religious imagination / edited by James P. Mackey.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Edinburgh : Edinburgh University Press, c1986.</t>
        </is>
      </c>
      <c r="O497" t="inlineStr">
        <is>
          <t>1986</t>
        </is>
      </c>
      <c r="Q497" t="inlineStr">
        <is>
          <t>eng</t>
        </is>
      </c>
      <c r="R497" t="inlineStr">
        <is>
          <t>stk</t>
        </is>
      </c>
      <c r="T497" t="inlineStr">
        <is>
          <t xml:space="preserve">BL </t>
        </is>
      </c>
      <c r="U497" t="n">
        <v>10</v>
      </c>
      <c r="V497" t="n">
        <v>10</v>
      </c>
      <c r="W497" t="inlineStr">
        <is>
          <t>1996-05-30</t>
        </is>
      </c>
      <c r="X497" t="inlineStr">
        <is>
          <t>1996-05-30</t>
        </is>
      </c>
      <c r="Y497" t="inlineStr">
        <is>
          <t>1990-09-28</t>
        </is>
      </c>
      <c r="Z497" t="inlineStr">
        <is>
          <t>1990-09-28</t>
        </is>
      </c>
      <c r="AA497" t="n">
        <v>333</v>
      </c>
      <c r="AB497" t="n">
        <v>244</v>
      </c>
      <c r="AC497" t="n">
        <v>245</v>
      </c>
      <c r="AD497" t="n">
        <v>2</v>
      </c>
      <c r="AE497" t="n">
        <v>2</v>
      </c>
      <c r="AF497" t="n">
        <v>15</v>
      </c>
      <c r="AG497" t="n">
        <v>15</v>
      </c>
      <c r="AH497" t="n">
        <v>5</v>
      </c>
      <c r="AI497" t="n">
        <v>5</v>
      </c>
      <c r="AJ497" t="n">
        <v>2</v>
      </c>
      <c r="AK497" t="n">
        <v>2</v>
      </c>
      <c r="AL497" t="n">
        <v>12</v>
      </c>
      <c r="AM497" t="n">
        <v>12</v>
      </c>
      <c r="AN497" t="n">
        <v>1</v>
      </c>
      <c r="AO497" t="n">
        <v>1</v>
      </c>
      <c r="AP497" t="n">
        <v>0</v>
      </c>
      <c r="AQ497" t="n">
        <v>0</v>
      </c>
      <c r="AR497" t="inlineStr">
        <is>
          <t>No</t>
        </is>
      </c>
      <c r="AS497" t="inlineStr">
        <is>
          <t>Yes</t>
        </is>
      </c>
      <c r="AT497">
        <f>HYPERLINK("http://catalog.hathitrust.org/Record/000587810","HathiTrust Record")</f>
        <v/>
      </c>
      <c r="AU497">
        <f>HYPERLINK("https://creighton-primo.hosted.exlibrisgroup.com/primo-explore/search?tab=default_tab&amp;search_scope=EVERYTHING&amp;vid=01CRU&amp;lang=en_US&amp;offset=0&amp;query=any,contains,991000934949702656","Catalog Record")</f>
        <v/>
      </c>
      <c r="AV497">
        <f>HYPERLINK("http://www.worldcat.org/oclc/14358476","WorldCat Record")</f>
        <v/>
      </c>
      <c r="AW497" t="inlineStr">
        <is>
          <t>3943343239:eng</t>
        </is>
      </c>
      <c r="AX497" t="inlineStr">
        <is>
          <t>14358476</t>
        </is>
      </c>
      <c r="AY497" t="inlineStr">
        <is>
          <t>991000934949702656</t>
        </is>
      </c>
      <c r="AZ497" t="inlineStr">
        <is>
          <t>991000934949702656</t>
        </is>
      </c>
      <c r="BA497" t="inlineStr">
        <is>
          <t>2258590520002656</t>
        </is>
      </c>
      <c r="BB497" t="inlineStr">
        <is>
          <t>BOOK</t>
        </is>
      </c>
      <c r="BD497" t="inlineStr">
        <is>
          <t>9780852245125</t>
        </is>
      </c>
      <c r="BE497" t="inlineStr">
        <is>
          <t>32285000323724</t>
        </is>
      </c>
      <c r="BF497" t="inlineStr">
        <is>
          <t>893865807</t>
        </is>
      </c>
    </row>
    <row r="498">
      <c r="A498" t="inlineStr">
        <is>
          <t>No</t>
        </is>
      </c>
      <c r="B498" t="inlineStr">
        <is>
          <t>CURAL</t>
        </is>
      </c>
      <c r="C498" t="inlineStr">
        <is>
          <t>SHELVES</t>
        </is>
      </c>
      <c r="D498" t="inlineStr">
        <is>
          <t>BL65.I55 W67</t>
        </is>
      </c>
      <c r="E498" t="inlineStr">
        <is>
          <t>0                      BL 0065000I  55                 W  67</t>
        </is>
      </c>
      <c r="F498" t="inlineStr">
        <is>
          <t>World faiths and the new world order : a Muslim-Jewish-Christian search begins / edited by Joseph Gremillion, William Ryan.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No</t>
        </is>
      </c>
      <c r="L498" t="inlineStr">
        <is>
          <t>0</t>
        </is>
      </c>
      <c r="N498" t="inlineStr">
        <is>
          <t>Washington : Interreligious Peace Colloquium, c1978.</t>
        </is>
      </c>
      <c r="O498" t="inlineStr">
        <is>
          <t>1978</t>
        </is>
      </c>
      <c r="Q498" t="inlineStr">
        <is>
          <t>eng</t>
        </is>
      </c>
      <c r="R498" t="inlineStr">
        <is>
          <t>dcu</t>
        </is>
      </c>
      <c r="T498" t="inlineStr">
        <is>
          <t xml:space="preserve">BL </t>
        </is>
      </c>
      <c r="U498" t="n">
        <v>3</v>
      </c>
      <c r="V498" t="n">
        <v>3</v>
      </c>
      <c r="W498" t="inlineStr">
        <is>
          <t>1998-01-29</t>
        </is>
      </c>
      <c r="X498" t="inlineStr">
        <is>
          <t>1998-01-29</t>
        </is>
      </c>
      <c r="Y498" t="inlineStr">
        <is>
          <t>1990-04-17</t>
        </is>
      </c>
      <c r="Z498" t="inlineStr">
        <is>
          <t>1990-04-17</t>
        </is>
      </c>
      <c r="AA498" t="n">
        <v>128</v>
      </c>
      <c r="AB498" t="n">
        <v>104</v>
      </c>
      <c r="AC498" t="n">
        <v>104</v>
      </c>
      <c r="AD498" t="n">
        <v>1</v>
      </c>
      <c r="AE498" t="n">
        <v>1</v>
      </c>
      <c r="AF498" t="n">
        <v>16</v>
      </c>
      <c r="AG498" t="n">
        <v>16</v>
      </c>
      <c r="AH498" t="n">
        <v>3</v>
      </c>
      <c r="AI498" t="n">
        <v>3</v>
      </c>
      <c r="AJ498" t="n">
        <v>5</v>
      </c>
      <c r="AK498" t="n">
        <v>5</v>
      </c>
      <c r="AL498" t="n">
        <v>13</v>
      </c>
      <c r="AM498" t="n">
        <v>13</v>
      </c>
      <c r="AN498" t="n">
        <v>0</v>
      </c>
      <c r="AO498" t="n">
        <v>0</v>
      </c>
      <c r="AP498" t="n">
        <v>0</v>
      </c>
      <c r="AQ498" t="n">
        <v>0</v>
      </c>
      <c r="AR498" t="inlineStr">
        <is>
          <t>No</t>
        </is>
      </c>
      <c r="AS498" t="inlineStr">
        <is>
          <t>No</t>
        </is>
      </c>
      <c r="AU498">
        <f>HYPERLINK("https://creighton-primo.hosted.exlibrisgroup.com/primo-explore/search?tab=default_tab&amp;search_scope=EVERYTHING&amp;vid=01CRU&amp;lang=en_US&amp;offset=0&amp;query=any,contains,991004684569702656","Catalog Record")</f>
        <v/>
      </c>
      <c r="AV498">
        <f>HYPERLINK("http://www.worldcat.org/oclc/4589580","WorldCat Record")</f>
        <v/>
      </c>
      <c r="AW498" t="inlineStr">
        <is>
          <t>891305626:eng</t>
        </is>
      </c>
      <c r="AX498" t="inlineStr">
        <is>
          <t>4589580</t>
        </is>
      </c>
      <c r="AY498" t="inlineStr">
        <is>
          <t>991004684569702656</t>
        </is>
      </c>
      <c r="AZ498" t="inlineStr">
        <is>
          <t>991004684569702656</t>
        </is>
      </c>
      <c r="BA498" t="inlineStr">
        <is>
          <t>2257948480002656</t>
        </is>
      </c>
      <c r="BB498" t="inlineStr">
        <is>
          <t>BOOK</t>
        </is>
      </c>
      <c r="BE498" t="inlineStr">
        <is>
          <t>32285000122191</t>
        </is>
      </c>
      <c r="BF498" t="inlineStr">
        <is>
          <t>893526391</t>
        </is>
      </c>
    </row>
    <row r="499">
      <c r="A499" t="inlineStr">
        <is>
          <t>No</t>
        </is>
      </c>
      <c r="B499" t="inlineStr">
        <is>
          <t>CURAL</t>
        </is>
      </c>
      <c r="C499" t="inlineStr">
        <is>
          <t>SHELVES</t>
        </is>
      </c>
      <c r="D499" t="inlineStr">
        <is>
          <t>BL65.L2 A95</t>
        </is>
      </c>
      <c r="E499" t="inlineStr">
        <is>
          <t>0                      BL 0065000L  2                  A  95</t>
        </is>
      </c>
      <c r="F499" t="inlineStr">
        <is>
          <t>The Autonomy of religious belief : a critical inquiry / edited with an introduction by Frederick J. Crosson.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Notre Dame, Ind. : University of Notre Dame Press,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inu</t>
        </is>
      </c>
      <c r="S499" t="inlineStr">
        <is>
          <t>Notre Dame studies in the philosophy of religion ; v. 2</t>
        </is>
      </c>
      <c r="T499" t="inlineStr">
        <is>
          <t xml:space="preserve">BL </t>
        </is>
      </c>
      <c r="U499" t="n">
        <v>2</v>
      </c>
      <c r="V499" t="n">
        <v>2</v>
      </c>
      <c r="W499" t="inlineStr">
        <is>
          <t>1995-12-05</t>
        </is>
      </c>
      <c r="X499" t="inlineStr">
        <is>
          <t>1995-12-05</t>
        </is>
      </c>
      <c r="Y499" t="inlineStr">
        <is>
          <t>1991-07-12</t>
        </is>
      </c>
      <c r="Z499" t="inlineStr">
        <is>
          <t>1991-07-12</t>
        </is>
      </c>
      <c r="AA499" t="n">
        <v>498</v>
      </c>
      <c r="AB499" t="n">
        <v>415</v>
      </c>
      <c r="AC499" t="n">
        <v>425</v>
      </c>
      <c r="AD499" t="n">
        <v>3</v>
      </c>
      <c r="AE499" t="n">
        <v>3</v>
      </c>
      <c r="AF499" t="n">
        <v>31</v>
      </c>
      <c r="AG499" t="n">
        <v>31</v>
      </c>
      <c r="AH499" t="n">
        <v>10</v>
      </c>
      <c r="AI499" t="n">
        <v>10</v>
      </c>
      <c r="AJ499" t="n">
        <v>7</v>
      </c>
      <c r="AK499" t="n">
        <v>7</v>
      </c>
      <c r="AL499" t="n">
        <v>22</v>
      </c>
      <c r="AM499" t="n">
        <v>22</v>
      </c>
      <c r="AN499" t="n">
        <v>2</v>
      </c>
      <c r="AO499" t="n">
        <v>2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HYPERLINK("http://catalog.hathitrust.org/Record/000261499","HathiTrust Record")</f>
        <v/>
      </c>
      <c r="AU499">
        <f>HYPERLINK("https://creighton-primo.hosted.exlibrisgroup.com/primo-explore/search?tab=default_tab&amp;search_scope=EVERYTHING&amp;vid=01CRU&amp;lang=en_US&amp;offset=0&amp;query=any,contains,991005114349702656","Catalog Record")</f>
        <v/>
      </c>
      <c r="AV499">
        <f>HYPERLINK("http://www.worldcat.org/oclc/7460777","WorldCat Record")</f>
        <v/>
      </c>
      <c r="AW499" t="inlineStr">
        <is>
          <t>806919340:eng</t>
        </is>
      </c>
      <c r="AX499" t="inlineStr">
        <is>
          <t>7460777</t>
        </is>
      </c>
      <c r="AY499" t="inlineStr">
        <is>
          <t>991005114349702656</t>
        </is>
      </c>
      <c r="AZ499" t="inlineStr">
        <is>
          <t>991005114349702656</t>
        </is>
      </c>
      <c r="BA499" t="inlineStr">
        <is>
          <t>2264463510002656</t>
        </is>
      </c>
      <c r="BB499" t="inlineStr">
        <is>
          <t>BOOK</t>
        </is>
      </c>
      <c r="BD499" t="inlineStr">
        <is>
          <t>9780268005962</t>
        </is>
      </c>
      <c r="BE499" t="inlineStr">
        <is>
          <t>32285000639020</t>
        </is>
      </c>
      <c r="BF499" t="inlineStr">
        <is>
          <t>893619473</t>
        </is>
      </c>
    </row>
    <row r="500">
      <c r="A500" t="inlineStr">
        <is>
          <t>No</t>
        </is>
      </c>
      <c r="B500" t="inlineStr">
        <is>
          <t>CURAL</t>
        </is>
      </c>
      <c r="C500" t="inlineStr">
        <is>
          <t>SHELVES</t>
        </is>
      </c>
      <c r="D500" t="inlineStr">
        <is>
          <t>BL65.L2 D44</t>
        </is>
      </c>
      <c r="E500" t="inlineStr">
        <is>
          <t>0                      BL 0065000L  2                  D  44</t>
        </is>
      </c>
      <c r="F500" t="inlineStr">
        <is>
          <t>Religion, language, and truth.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M500" t="inlineStr">
        <is>
          <t>Dewart, Leslie.</t>
        </is>
      </c>
      <c r="N500" t="inlineStr">
        <is>
          <t>[New York] Herder and Herder [1970]</t>
        </is>
      </c>
      <c r="O500" t="inlineStr">
        <is>
          <t>1970</t>
        </is>
      </c>
      <c r="Q500" t="inlineStr">
        <is>
          <t>eng</t>
        </is>
      </c>
      <c r="R500" t="inlineStr">
        <is>
          <t>nyu</t>
        </is>
      </c>
      <c r="T500" t="inlineStr">
        <is>
          <t xml:space="preserve">BL </t>
        </is>
      </c>
      <c r="U500" t="n">
        <v>2</v>
      </c>
      <c r="V500" t="n">
        <v>2</v>
      </c>
      <c r="W500" t="inlineStr">
        <is>
          <t>1992-09-20</t>
        </is>
      </c>
      <c r="X500" t="inlineStr">
        <is>
          <t>1992-09-20</t>
        </is>
      </c>
      <c r="Y500" t="inlineStr">
        <is>
          <t>1990-09-28</t>
        </is>
      </c>
      <c r="Z500" t="inlineStr">
        <is>
          <t>1990-09-28</t>
        </is>
      </c>
      <c r="AA500" t="n">
        <v>421</v>
      </c>
      <c r="AB500" t="n">
        <v>357</v>
      </c>
      <c r="AC500" t="n">
        <v>363</v>
      </c>
      <c r="AD500" t="n">
        <v>4</v>
      </c>
      <c r="AE500" t="n">
        <v>4</v>
      </c>
      <c r="AF500" t="n">
        <v>25</v>
      </c>
      <c r="AG500" t="n">
        <v>25</v>
      </c>
      <c r="AH500" t="n">
        <v>6</v>
      </c>
      <c r="AI500" t="n">
        <v>6</v>
      </c>
      <c r="AJ500" t="n">
        <v>7</v>
      </c>
      <c r="AK500" t="n">
        <v>7</v>
      </c>
      <c r="AL500" t="n">
        <v>19</v>
      </c>
      <c r="AM500" t="n">
        <v>19</v>
      </c>
      <c r="AN500" t="n">
        <v>2</v>
      </c>
      <c r="AO500" t="n">
        <v>2</v>
      </c>
      <c r="AP500" t="n">
        <v>0</v>
      </c>
      <c r="AQ500" t="n">
        <v>0</v>
      </c>
      <c r="AR500" t="inlineStr">
        <is>
          <t>No</t>
        </is>
      </c>
      <c r="AS500" t="inlineStr">
        <is>
          <t>No</t>
        </is>
      </c>
      <c r="AU500">
        <f>HYPERLINK("https://creighton-primo.hosted.exlibrisgroup.com/primo-explore/search?tab=default_tab&amp;search_scope=EVERYTHING&amp;vid=01CRU&amp;lang=en_US&amp;offset=0&amp;query=any,contains,991000586909702656","Catalog Record")</f>
        <v/>
      </c>
      <c r="AV500">
        <f>HYPERLINK("http://www.worldcat.org/oclc/96184","WorldCat Record")</f>
        <v/>
      </c>
      <c r="AW500" t="inlineStr">
        <is>
          <t>1320653:eng</t>
        </is>
      </c>
      <c r="AX500" t="inlineStr">
        <is>
          <t>96184</t>
        </is>
      </c>
      <c r="AY500" t="inlineStr">
        <is>
          <t>991000586909702656</t>
        </is>
      </c>
      <c r="AZ500" t="inlineStr">
        <is>
          <t>991000586909702656</t>
        </is>
      </c>
      <c r="BA500" t="inlineStr">
        <is>
          <t>2271235320002656</t>
        </is>
      </c>
      <c r="BB500" t="inlineStr">
        <is>
          <t>BOOK</t>
        </is>
      </c>
      <c r="BE500" t="inlineStr">
        <is>
          <t>32285000323765</t>
        </is>
      </c>
      <c r="BF500" t="inlineStr">
        <is>
          <t>893790659</t>
        </is>
      </c>
    </row>
    <row r="501">
      <c r="A501" t="inlineStr">
        <is>
          <t>No</t>
        </is>
      </c>
      <c r="B501" t="inlineStr">
        <is>
          <t>CURAL</t>
        </is>
      </c>
      <c r="C501" t="inlineStr">
        <is>
          <t>SHELVES</t>
        </is>
      </c>
      <c r="D501" t="inlineStr">
        <is>
          <t>BL65.L2 F46 1982</t>
        </is>
      </c>
      <c r="E501" t="inlineStr">
        <is>
          <t>0                      BL 0065000L  2                  F  46          1982</t>
        </is>
      </c>
      <c r="F501" t="inlineStr">
        <is>
          <t>Liturgies and trials : the secularization of religious language / Richard K. Fenn.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M501" t="inlineStr">
        <is>
          <t>Fenn, Richard K.</t>
        </is>
      </c>
      <c r="N501" t="inlineStr">
        <is>
          <t>New York : Pilgrim Press, 1982.</t>
        </is>
      </c>
      <c r="O501" t="inlineStr">
        <is>
          <t>1982</t>
        </is>
      </c>
      <c r="Q501" t="inlineStr">
        <is>
          <t>eng</t>
        </is>
      </c>
      <c r="R501" t="inlineStr">
        <is>
          <t>nyu</t>
        </is>
      </c>
      <c r="T501" t="inlineStr">
        <is>
          <t xml:space="preserve">BL </t>
        </is>
      </c>
      <c r="U501" t="n">
        <v>1</v>
      </c>
      <c r="V501" t="n">
        <v>1</v>
      </c>
      <c r="W501" t="inlineStr">
        <is>
          <t>1995-01-19</t>
        </is>
      </c>
      <c r="X501" t="inlineStr">
        <is>
          <t>1995-01-19</t>
        </is>
      </c>
      <c r="Y501" t="inlineStr">
        <is>
          <t>1990-09-28</t>
        </is>
      </c>
      <c r="Z501" t="inlineStr">
        <is>
          <t>1990-09-28</t>
        </is>
      </c>
      <c r="AA501" t="n">
        <v>232</v>
      </c>
      <c r="AB501" t="n">
        <v>207</v>
      </c>
      <c r="AC501" t="n">
        <v>244</v>
      </c>
      <c r="AD501" t="n">
        <v>2</v>
      </c>
      <c r="AE501" t="n">
        <v>2</v>
      </c>
      <c r="AF501" t="n">
        <v>15</v>
      </c>
      <c r="AG501" t="n">
        <v>16</v>
      </c>
      <c r="AH501" t="n">
        <v>4</v>
      </c>
      <c r="AI501" t="n">
        <v>4</v>
      </c>
      <c r="AJ501" t="n">
        <v>6</v>
      </c>
      <c r="AK501" t="n">
        <v>7</v>
      </c>
      <c r="AL501" t="n">
        <v>9</v>
      </c>
      <c r="AM501" t="n">
        <v>9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HYPERLINK("http://catalog.hathitrust.org/Record/000765622","HathiTrust Record")</f>
        <v/>
      </c>
      <c r="AU501">
        <f>HYPERLINK("https://creighton-primo.hosted.exlibrisgroup.com/primo-explore/search?tab=default_tab&amp;search_scope=EVERYTHING&amp;vid=01CRU&amp;lang=en_US&amp;offset=0&amp;query=any,contains,991005182869702656","Catalog Record")</f>
        <v/>
      </c>
      <c r="AV501">
        <f>HYPERLINK("http://www.worldcat.org/oclc/7947453","WorldCat Record")</f>
        <v/>
      </c>
      <c r="AW501" t="inlineStr">
        <is>
          <t>836690754:eng</t>
        </is>
      </c>
      <c r="AX501" t="inlineStr">
        <is>
          <t>7947453</t>
        </is>
      </c>
      <c r="AY501" t="inlineStr">
        <is>
          <t>991005182869702656</t>
        </is>
      </c>
      <c r="AZ501" t="inlineStr">
        <is>
          <t>991005182869702656</t>
        </is>
      </c>
      <c r="BA501" t="inlineStr">
        <is>
          <t>2270194790002656</t>
        </is>
      </c>
      <c r="BB501" t="inlineStr">
        <is>
          <t>BOOK</t>
        </is>
      </c>
      <c r="BD501" t="inlineStr">
        <is>
          <t>9780829804959</t>
        </is>
      </c>
      <c r="BE501" t="inlineStr">
        <is>
          <t>32285000323807</t>
        </is>
      </c>
      <c r="BF501" t="inlineStr">
        <is>
          <t>893507746</t>
        </is>
      </c>
    </row>
    <row r="502">
      <c r="A502" t="inlineStr">
        <is>
          <t>No</t>
        </is>
      </c>
      <c r="B502" t="inlineStr">
        <is>
          <t>CURAL</t>
        </is>
      </c>
      <c r="C502" t="inlineStr">
        <is>
          <t>SHELVES</t>
        </is>
      </c>
      <c r="D502" t="inlineStr">
        <is>
          <t>BL65.L2 G5</t>
        </is>
      </c>
      <c r="E502" t="inlineStr">
        <is>
          <t>0                      BL 0065000L  2                  G  5</t>
        </is>
      </c>
      <c r="F502" t="inlineStr">
        <is>
          <t>Naming the whirlwind; the renewal of God-language, by Langdon Gilkey.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Gilkey, Langdon, 1919-2004.</t>
        </is>
      </c>
      <c r="N502" t="inlineStr">
        <is>
          <t>Indianapolis, Bobbs-Merrill [1969]</t>
        </is>
      </c>
      <c r="O502" t="inlineStr">
        <is>
          <t>1969</t>
        </is>
      </c>
      <c r="Q502" t="inlineStr">
        <is>
          <t>eng</t>
        </is>
      </c>
      <c r="R502" t="inlineStr">
        <is>
          <t>inu</t>
        </is>
      </c>
      <c r="T502" t="inlineStr">
        <is>
          <t xml:space="preserve">BL </t>
        </is>
      </c>
      <c r="U502" t="n">
        <v>3</v>
      </c>
      <c r="V502" t="n">
        <v>3</v>
      </c>
      <c r="W502" t="inlineStr">
        <is>
          <t>1993-11-04</t>
        </is>
      </c>
      <c r="X502" t="inlineStr">
        <is>
          <t>1993-11-04</t>
        </is>
      </c>
      <c r="Y502" t="inlineStr">
        <is>
          <t>1990-09-28</t>
        </is>
      </c>
      <c r="Z502" t="inlineStr">
        <is>
          <t>1990-09-28</t>
        </is>
      </c>
      <c r="AA502" t="n">
        <v>1090</v>
      </c>
      <c r="AB502" t="n">
        <v>933</v>
      </c>
      <c r="AC502" t="n">
        <v>945</v>
      </c>
      <c r="AD502" t="n">
        <v>10</v>
      </c>
      <c r="AE502" t="n">
        <v>10</v>
      </c>
      <c r="AF502" t="n">
        <v>50</v>
      </c>
      <c r="AG502" t="n">
        <v>51</v>
      </c>
      <c r="AH502" t="n">
        <v>21</v>
      </c>
      <c r="AI502" t="n">
        <v>22</v>
      </c>
      <c r="AJ502" t="n">
        <v>7</v>
      </c>
      <c r="AK502" t="n">
        <v>7</v>
      </c>
      <c r="AL502" t="n">
        <v>26</v>
      </c>
      <c r="AM502" t="n">
        <v>26</v>
      </c>
      <c r="AN502" t="n">
        <v>8</v>
      </c>
      <c r="AO502" t="n">
        <v>8</v>
      </c>
      <c r="AP502" t="n">
        <v>0</v>
      </c>
      <c r="AQ502" t="n">
        <v>0</v>
      </c>
      <c r="AR502" t="inlineStr">
        <is>
          <t>No</t>
        </is>
      </c>
      <c r="AS502" t="inlineStr">
        <is>
          <t>Yes</t>
        </is>
      </c>
      <c r="AT502">
        <f>HYPERLINK("http://catalog.hathitrust.org/Record/000630355","HathiTrust Record")</f>
        <v/>
      </c>
      <c r="AU502">
        <f>HYPERLINK("https://creighton-primo.hosted.exlibrisgroup.com/primo-explore/search?tab=default_tab&amp;search_scope=EVERYTHING&amp;vid=01CRU&amp;lang=en_US&amp;offset=0&amp;query=any,contains,991000038589702656","Catalog Record")</f>
        <v/>
      </c>
      <c r="AV502">
        <f>HYPERLINK("http://www.worldcat.org/oclc/21306","WorldCat Record")</f>
        <v/>
      </c>
      <c r="AW502" t="inlineStr">
        <is>
          <t>1143658:eng</t>
        </is>
      </c>
      <c r="AX502" t="inlineStr">
        <is>
          <t>21306</t>
        </is>
      </c>
      <c r="AY502" t="inlineStr">
        <is>
          <t>991000038589702656</t>
        </is>
      </c>
      <c r="AZ502" t="inlineStr">
        <is>
          <t>991000038589702656</t>
        </is>
      </c>
      <c r="BA502" t="inlineStr">
        <is>
          <t>2261547480002656</t>
        </is>
      </c>
      <c r="BB502" t="inlineStr">
        <is>
          <t>BOOK</t>
        </is>
      </c>
      <c r="BE502" t="inlineStr">
        <is>
          <t>32285000323815</t>
        </is>
      </c>
      <c r="BF502" t="inlineStr">
        <is>
          <t>893314617</t>
        </is>
      </c>
    </row>
    <row r="503">
      <c r="A503" t="inlineStr">
        <is>
          <t>No</t>
        </is>
      </c>
      <c r="B503" t="inlineStr">
        <is>
          <t>CURAL</t>
        </is>
      </c>
      <c r="C503" t="inlineStr">
        <is>
          <t>SHELVES</t>
        </is>
      </c>
      <c r="D503" t="inlineStr">
        <is>
          <t>BL65.L2 L85</t>
        </is>
      </c>
      <c r="E503" t="inlineStr">
        <is>
          <t>0                      BL 0065000L  2                  L  85</t>
        </is>
      </c>
      <c r="F503" t="inlineStr">
        <is>
          <t>Risk and rhetoric in religion; Whitehead's theory of language and the discourse of faith [by] Lyman T. Lundeen.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M503" t="inlineStr">
        <is>
          <t>Lundeen, Lyman T.</t>
        </is>
      </c>
      <c r="N503" t="inlineStr">
        <is>
          <t>Philadelphia, Fortress Press [1972]</t>
        </is>
      </c>
      <c r="O503" t="inlineStr">
        <is>
          <t>1972</t>
        </is>
      </c>
      <c r="Q503" t="inlineStr">
        <is>
          <t>eng</t>
        </is>
      </c>
      <c r="R503" t="inlineStr">
        <is>
          <t>pau</t>
        </is>
      </c>
      <c r="T503" t="inlineStr">
        <is>
          <t xml:space="preserve">BL </t>
        </is>
      </c>
      <c r="U503" t="n">
        <v>0</v>
      </c>
      <c r="V503" t="n">
        <v>0</v>
      </c>
      <c r="W503" t="inlineStr">
        <is>
          <t>2008-08-01</t>
        </is>
      </c>
      <c r="X503" t="inlineStr">
        <is>
          <t>2008-08-01</t>
        </is>
      </c>
      <c r="Y503" t="inlineStr">
        <is>
          <t>1990-09-28</t>
        </is>
      </c>
      <c r="Z503" t="inlineStr">
        <is>
          <t>1990-09-28</t>
        </is>
      </c>
      <c r="AA503" t="n">
        <v>501</v>
      </c>
      <c r="AB503" t="n">
        <v>426</v>
      </c>
      <c r="AC503" t="n">
        <v>432</v>
      </c>
      <c r="AD503" t="n">
        <v>4</v>
      </c>
      <c r="AE503" t="n">
        <v>4</v>
      </c>
      <c r="AF503" t="n">
        <v>27</v>
      </c>
      <c r="AG503" t="n">
        <v>27</v>
      </c>
      <c r="AH503" t="n">
        <v>7</v>
      </c>
      <c r="AI503" t="n">
        <v>7</v>
      </c>
      <c r="AJ503" t="n">
        <v>6</v>
      </c>
      <c r="AK503" t="n">
        <v>6</v>
      </c>
      <c r="AL503" t="n">
        <v>17</v>
      </c>
      <c r="AM503" t="n">
        <v>17</v>
      </c>
      <c r="AN503" t="n">
        <v>3</v>
      </c>
      <c r="AO503" t="n">
        <v>3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HYPERLINK("http://catalog.hathitrust.org/Record/001391576","HathiTrust Record")</f>
        <v/>
      </c>
      <c r="AU503">
        <f>HYPERLINK("https://creighton-primo.hosted.exlibrisgroup.com/primo-explore/search?tab=default_tab&amp;search_scope=EVERYTHING&amp;vid=01CRU&amp;lang=en_US&amp;offset=0&amp;query=any,contains,991002177189702656","Catalog Record")</f>
        <v/>
      </c>
      <c r="AV503">
        <f>HYPERLINK("http://www.worldcat.org/oclc/278251","WorldCat Record")</f>
        <v/>
      </c>
      <c r="AW503" t="inlineStr">
        <is>
          <t>347176438:eng</t>
        </is>
      </c>
      <c r="AX503" t="inlineStr">
        <is>
          <t>278251</t>
        </is>
      </c>
      <c r="AY503" t="inlineStr">
        <is>
          <t>991002177189702656</t>
        </is>
      </c>
      <c r="AZ503" t="inlineStr">
        <is>
          <t>991002177189702656</t>
        </is>
      </c>
      <c r="BA503" t="inlineStr">
        <is>
          <t>2261167300002656</t>
        </is>
      </c>
      <c r="BB503" t="inlineStr">
        <is>
          <t>BOOK</t>
        </is>
      </c>
      <c r="BD503" t="inlineStr">
        <is>
          <t>9780800600501</t>
        </is>
      </c>
      <c r="BE503" t="inlineStr">
        <is>
          <t>32285000323856</t>
        </is>
      </c>
      <c r="BF503" t="inlineStr">
        <is>
          <t>893697448</t>
        </is>
      </c>
    </row>
    <row r="504">
      <c r="A504" t="inlineStr">
        <is>
          <t>No</t>
        </is>
      </c>
      <c r="B504" t="inlineStr">
        <is>
          <t>CURAL</t>
        </is>
      </c>
      <c r="C504" t="inlineStr">
        <is>
          <t>SHELVES</t>
        </is>
      </c>
      <c r="D504" t="inlineStr">
        <is>
          <t>BL65.L2 T5</t>
        </is>
      </c>
      <c r="E504" t="inlineStr">
        <is>
          <t>0                      BL 0065000L  2                  T  5</t>
        </is>
      </c>
      <c r="F504" t="inlineStr">
        <is>
          <t>Talking of God : an introduction to philosophical analysis of religious language / by Terrence W. Tilley. --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M504" t="inlineStr">
        <is>
          <t>Tilley, Terrence W.</t>
        </is>
      </c>
      <c r="N504" t="inlineStr">
        <is>
          <t>New York : Paulist Press, c1978.</t>
        </is>
      </c>
      <c r="O504" t="inlineStr">
        <is>
          <t>1978</t>
        </is>
      </c>
      <c r="Q504" t="inlineStr">
        <is>
          <t>eng</t>
        </is>
      </c>
      <c r="R504" t="inlineStr">
        <is>
          <t>nyu</t>
        </is>
      </c>
      <c r="S504" t="inlineStr">
        <is>
          <t>An Exploration book</t>
        </is>
      </c>
      <c r="T504" t="inlineStr">
        <is>
          <t xml:space="preserve">BL </t>
        </is>
      </c>
      <c r="U504" t="n">
        <v>2</v>
      </c>
      <c r="V504" t="n">
        <v>2</v>
      </c>
      <c r="W504" t="inlineStr">
        <is>
          <t>1995-12-05</t>
        </is>
      </c>
      <c r="X504" t="inlineStr">
        <is>
          <t>1995-12-05</t>
        </is>
      </c>
      <c r="Y504" t="inlineStr">
        <is>
          <t>1990-09-28</t>
        </is>
      </c>
      <c r="Z504" t="inlineStr">
        <is>
          <t>1990-09-28</t>
        </is>
      </c>
      <c r="AA504" t="n">
        <v>391</v>
      </c>
      <c r="AB504" t="n">
        <v>338</v>
      </c>
      <c r="AC504" t="n">
        <v>343</v>
      </c>
      <c r="AD504" t="n">
        <v>5</v>
      </c>
      <c r="AE504" t="n">
        <v>5</v>
      </c>
      <c r="AF504" t="n">
        <v>28</v>
      </c>
      <c r="AG504" t="n">
        <v>28</v>
      </c>
      <c r="AH504" t="n">
        <v>6</v>
      </c>
      <c r="AI504" t="n">
        <v>6</v>
      </c>
      <c r="AJ504" t="n">
        <v>8</v>
      </c>
      <c r="AK504" t="n">
        <v>8</v>
      </c>
      <c r="AL504" t="n">
        <v>18</v>
      </c>
      <c r="AM504" t="n">
        <v>18</v>
      </c>
      <c r="AN504" t="n">
        <v>3</v>
      </c>
      <c r="AO504" t="n">
        <v>3</v>
      </c>
      <c r="AP504" t="n">
        <v>0</v>
      </c>
      <c r="AQ504" t="n">
        <v>0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HYPERLINK("https://creighton-primo.hosted.exlibrisgroup.com/primo-explore/search?tab=default_tab&amp;search_scope=EVERYTHING&amp;vid=01CRU&amp;lang=en_US&amp;offset=0&amp;query=any,contains,991004572269702656","Catalog Record")</f>
        <v/>
      </c>
      <c r="AV504">
        <f>HYPERLINK("http://www.worldcat.org/oclc/4036389","WorldCat Record")</f>
        <v/>
      </c>
      <c r="AW504" t="inlineStr">
        <is>
          <t>14269950:eng</t>
        </is>
      </c>
      <c r="AX504" t="inlineStr">
        <is>
          <t>4036389</t>
        </is>
      </c>
      <c r="AY504" t="inlineStr">
        <is>
          <t>991004572269702656</t>
        </is>
      </c>
      <c r="AZ504" t="inlineStr">
        <is>
          <t>991004572269702656</t>
        </is>
      </c>
      <c r="BA504" t="inlineStr">
        <is>
          <t>2269450290002656</t>
        </is>
      </c>
      <c r="BB504" t="inlineStr">
        <is>
          <t>BOOK</t>
        </is>
      </c>
      <c r="BD504" t="inlineStr">
        <is>
          <t>9780809121106</t>
        </is>
      </c>
      <c r="BE504" t="inlineStr">
        <is>
          <t>32285000323906</t>
        </is>
      </c>
      <c r="BF504" t="inlineStr">
        <is>
          <t>893782386</t>
        </is>
      </c>
    </row>
    <row r="505">
      <c r="A505" t="inlineStr">
        <is>
          <t>No</t>
        </is>
      </c>
      <c r="B505" t="inlineStr">
        <is>
          <t>CURAL</t>
        </is>
      </c>
      <c r="C505" t="inlineStr">
        <is>
          <t>SHELVES</t>
        </is>
      </c>
      <c r="D505" t="inlineStr">
        <is>
          <t>BL65.L33 B47 1974</t>
        </is>
      </c>
      <c r="E505" t="inlineStr">
        <is>
          <t>0                      BL 0065000L  33                 B  47          1974</t>
        </is>
      </c>
      <c r="F505" t="inlineStr">
        <is>
          <t>The interaction of law and religion / [by] Harold J. Berman.</t>
        </is>
      </c>
      <c r="H505" t="inlineStr">
        <is>
          <t>No</t>
        </is>
      </c>
      <c r="I505" t="inlineStr">
        <is>
          <t>1</t>
        </is>
      </c>
      <c r="J505" t="inlineStr">
        <is>
          <t>Yes</t>
        </is>
      </c>
      <c r="K505" t="inlineStr">
        <is>
          <t>No</t>
        </is>
      </c>
      <c r="L505" t="inlineStr">
        <is>
          <t>0</t>
        </is>
      </c>
      <c r="M505" t="inlineStr">
        <is>
          <t>Berman, Harold J. (Harold Joseph), 1918-2007.</t>
        </is>
      </c>
      <c r="N505" t="inlineStr">
        <is>
          <t>Nashville : Abingdon Press, [1974]</t>
        </is>
      </c>
      <c r="O505" t="inlineStr">
        <is>
          <t>1974</t>
        </is>
      </c>
      <c r="Q505" t="inlineStr">
        <is>
          <t>eng</t>
        </is>
      </c>
      <c r="R505" t="inlineStr">
        <is>
          <t>tnu</t>
        </is>
      </c>
      <c r="T505" t="inlineStr">
        <is>
          <t xml:space="preserve">BL </t>
        </is>
      </c>
      <c r="U505" t="n">
        <v>2</v>
      </c>
      <c r="V505" t="n">
        <v>3</v>
      </c>
      <c r="W505" t="inlineStr">
        <is>
          <t>1994-11-07</t>
        </is>
      </c>
      <c r="X505" t="inlineStr">
        <is>
          <t>1994-11-07</t>
        </is>
      </c>
      <c r="Y505" t="inlineStr">
        <is>
          <t>1993-02-11</t>
        </is>
      </c>
      <c r="Z505" t="inlineStr">
        <is>
          <t>1993-02-11</t>
        </is>
      </c>
      <c r="AA505" t="n">
        <v>686</v>
      </c>
      <c r="AB505" t="n">
        <v>609</v>
      </c>
      <c r="AC505" t="n">
        <v>621</v>
      </c>
      <c r="AD505" t="n">
        <v>5</v>
      </c>
      <c r="AE505" t="n">
        <v>5</v>
      </c>
      <c r="AF505" t="n">
        <v>41</v>
      </c>
      <c r="AG505" t="n">
        <v>42</v>
      </c>
      <c r="AH505" t="n">
        <v>9</v>
      </c>
      <c r="AI505" t="n">
        <v>10</v>
      </c>
      <c r="AJ505" t="n">
        <v>4</v>
      </c>
      <c r="AK505" t="n">
        <v>4</v>
      </c>
      <c r="AL505" t="n">
        <v>17</v>
      </c>
      <c r="AM505" t="n">
        <v>18</v>
      </c>
      <c r="AN505" t="n">
        <v>2</v>
      </c>
      <c r="AO505" t="n">
        <v>2</v>
      </c>
      <c r="AP505" t="n">
        <v>16</v>
      </c>
      <c r="AQ505" t="n">
        <v>16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HYPERLINK("http://catalog.hathitrust.org/Record/102073701","HathiTrust Record")</f>
        <v/>
      </c>
      <c r="AU505">
        <f>HYPERLINK("https://creighton-primo.hosted.exlibrisgroup.com/primo-explore/search?tab=default_tab&amp;search_scope=EVERYTHING&amp;vid=01CRU&amp;lang=en_US&amp;offset=0&amp;query=any,contains,991001672019702656","Catalog Record")</f>
        <v/>
      </c>
      <c r="AV505">
        <f>HYPERLINK("http://www.worldcat.org/oclc/707318","WorldCat Record")</f>
        <v/>
      </c>
      <c r="AW505" t="inlineStr">
        <is>
          <t>116830868:eng</t>
        </is>
      </c>
      <c r="AX505" t="inlineStr">
        <is>
          <t>707318</t>
        </is>
      </c>
      <c r="AY505" t="inlineStr">
        <is>
          <t>991001672019702656</t>
        </is>
      </c>
      <c r="AZ505" t="inlineStr">
        <is>
          <t>991001672019702656</t>
        </is>
      </c>
      <c r="BA505" t="inlineStr">
        <is>
          <t>2269168140002656</t>
        </is>
      </c>
      <c r="BB505" t="inlineStr">
        <is>
          <t>BOOK</t>
        </is>
      </c>
      <c r="BD505" t="inlineStr">
        <is>
          <t>9780687191277</t>
        </is>
      </c>
      <c r="BE505" t="inlineStr">
        <is>
          <t>32285001495893</t>
        </is>
      </c>
      <c r="BF505" t="inlineStr">
        <is>
          <t>893426753</t>
        </is>
      </c>
    </row>
    <row r="506">
      <c r="A506" t="inlineStr">
        <is>
          <t>No</t>
        </is>
      </c>
      <c r="B506" t="inlineStr">
        <is>
          <t>CURAL</t>
        </is>
      </c>
      <c r="C506" t="inlineStr">
        <is>
          <t>SHELVES</t>
        </is>
      </c>
      <c r="D506" t="inlineStr">
        <is>
          <t>BL65.L63 B6</t>
        </is>
      </c>
      <c r="E506" t="inlineStr">
        <is>
          <t>0                      BL 0065000L  63                 B  6</t>
        </is>
      </c>
      <c r="F506" t="inlineStr">
        <is>
          <t>The logic of religion, by Joseph M. Bochenski.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No</t>
        </is>
      </c>
      <c r="L506" t="inlineStr">
        <is>
          <t>0</t>
        </is>
      </c>
      <c r="M506" t="inlineStr">
        <is>
          <t>Bochenski, Joseph M., 1902-1995.</t>
        </is>
      </c>
      <c r="N506" t="inlineStr">
        <is>
          <t>[New York] New York University Press, 1965.</t>
        </is>
      </c>
      <c r="O506" t="inlineStr">
        <is>
          <t>1965</t>
        </is>
      </c>
      <c r="Q506" t="inlineStr">
        <is>
          <t>eng</t>
        </is>
      </c>
      <c r="R506" t="inlineStr">
        <is>
          <t>nyu</t>
        </is>
      </c>
      <c r="T506" t="inlineStr">
        <is>
          <t xml:space="preserve">BL </t>
        </is>
      </c>
      <c r="U506" t="n">
        <v>1</v>
      </c>
      <c r="V506" t="n">
        <v>1</v>
      </c>
      <c r="W506" t="inlineStr">
        <is>
          <t>1992-07-18</t>
        </is>
      </c>
      <c r="X506" t="inlineStr">
        <is>
          <t>1992-07-18</t>
        </is>
      </c>
      <c r="Y506" t="inlineStr">
        <is>
          <t>1990-09-28</t>
        </is>
      </c>
      <c r="Z506" t="inlineStr">
        <is>
          <t>1990-09-28</t>
        </is>
      </c>
      <c r="AA506" t="n">
        <v>644</v>
      </c>
      <c r="AB506" t="n">
        <v>542</v>
      </c>
      <c r="AC506" t="n">
        <v>544</v>
      </c>
      <c r="AD506" t="n">
        <v>3</v>
      </c>
      <c r="AE506" t="n">
        <v>3</v>
      </c>
      <c r="AF506" t="n">
        <v>33</v>
      </c>
      <c r="AG506" t="n">
        <v>33</v>
      </c>
      <c r="AH506" t="n">
        <v>13</v>
      </c>
      <c r="AI506" t="n">
        <v>13</v>
      </c>
      <c r="AJ506" t="n">
        <v>8</v>
      </c>
      <c r="AK506" t="n">
        <v>8</v>
      </c>
      <c r="AL506" t="n">
        <v>23</v>
      </c>
      <c r="AM506" t="n">
        <v>23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Yes</t>
        </is>
      </c>
      <c r="AT506">
        <f>HYPERLINK("http://catalog.hathitrust.org/Record/001391582","HathiTrust Record")</f>
        <v/>
      </c>
      <c r="AU506">
        <f>HYPERLINK("https://creighton-primo.hosted.exlibrisgroup.com/primo-explore/search?tab=default_tab&amp;search_scope=EVERYTHING&amp;vid=01CRU&amp;lang=en_US&amp;offset=0&amp;query=any,contains,991002326019702656","Catalog Record")</f>
        <v/>
      </c>
      <c r="AV506">
        <f>HYPERLINK("http://www.worldcat.org/oclc/320905","WorldCat Record")</f>
        <v/>
      </c>
      <c r="AW506" t="inlineStr">
        <is>
          <t>324051496:eng</t>
        </is>
      </c>
      <c r="AX506" t="inlineStr">
        <is>
          <t>320905</t>
        </is>
      </c>
      <c r="AY506" t="inlineStr">
        <is>
          <t>991002326019702656</t>
        </is>
      </c>
      <c r="AZ506" t="inlineStr">
        <is>
          <t>991002326019702656</t>
        </is>
      </c>
      <c r="BA506" t="inlineStr">
        <is>
          <t>2255896810002656</t>
        </is>
      </c>
      <c r="BB506" t="inlineStr">
        <is>
          <t>BOOK</t>
        </is>
      </c>
      <c r="BE506" t="inlineStr">
        <is>
          <t>32285000323930</t>
        </is>
      </c>
      <c r="BF506" t="inlineStr">
        <is>
          <t>893691494</t>
        </is>
      </c>
    </row>
    <row r="507">
      <c r="A507" t="inlineStr">
        <is>
          <t>No</t>
        </is>
      </c>
      <c r="B507" t="inlineStr">
        <is>
          <t>CURAL</t>
        </is>
      </c>
      <c r="C507" t="inlineStr">
        <is>
          <t>SHELVES</t>
        </is>
      </c>
      <c r="D507" t="inlineStr">
        <is>
          <t>BL65.M4 C37 1986</t>
        </is>
      </c>
      <c r="E507" t="inlineStr">
        <is>
          <t>0                      BL 0065000M  4                  C  37          1986</t>
        </is>
      </c>
      <c r="F507" t="inlineStr">
        <is>
          <t>Caring and curing : health and medicine in the Western religious traditions / edited by Ronald L. Numbers and Darrel W. Amundsen.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N507" t="inlineStr">
        <is>
          <t>New York, N.Y. : Macmillan, c1986.</t>
        </is>
      </c>
      <c r="O507" t="inlineStr">
        <is>
          <t>1986</t>
        </is>
      </c>
      <c r="Q507" t="inlineStr">
        <is>
          <t>eng</t>
        </is>
      </c>
      <c r="R507" t="inlineStr">
        <is>
          <t>nyu</t>
        </is>
      </c>
      <c r="T507" t="inlineStr">
        <is>
          <t xml:space="preserve">BL </t>
        </is>
      </c>
      <c r="U507" t="n">
        <v>8</v>
      </c>
      <c r="V507" t="n">
        <v>8</v>
      </c>
      <c r="W507" t="inlineStr">
        <is>
          <t>2006-06-16</t>
        </is>
      </c>
      <c r="X507" t="inlineStr">
        <is>
          <t>2006-06-16</t>
        </is>
      </c>
      <c r="Y507" t="inlineStr">
        <is>
          <t>1990-09-28</t>
        </is>
      </c>
      <c r="Z507" t="inlineStr">
        <is>
          <t>1990-09-28</t>
        </is>
      </c>
      <c r="AA507" t="n">
        <v>718</v>
      </c>
      <c r="AB507" t="n">
        <v>645</v>
      </c>
      <c r="AC507" t="n">
        <v>774</v>
      </c>
      <c r="AD507" t="n">
        <v>6</v>
      </c>
      <c r="AE507" t="n">
        <v>7</v>
      </c>
      <c r="AF507" t="n">
        <v>39</v>
      </c>
      <c r="AG507" t="n">
        <v>45</v>
      </c>
      <c r="AH507" t="n">
        <v>13</v>
      </c>
      <c r="AI507" t="n">
        <v>16</v>
      </c>
      <c r="AJ507" t="n">
        <v>7</v>
      </c>
      <c r="AK507" t="n">
        <v>8</v>
      </c>
      <c r="AL507" t="n">
        <v>20</v>
      </c>
      <c r="AM507" t="n">
        <v>23</v>
      </c>
      <c r="AN507" t="n">
        <v>5</v>
      </c>
      <c r="AO507" t="n">
        <v>5</v>
      </c>
      <c r="AP507" t="n">
        <v>2</v>
      </c>
      <c r="AQ507" t="n">
        <v>2</v>
      </c>
      <c r="AR507" t="inlineStr">
        <is>
          <t>No</t>
        </is>
      </c>
      <c r="AS507" t="inlineStr">
        <is>
          <t>Yes</t>
        </is>
      </c>
      <c r="AT507">
        <f>HYPERLINK("http://catalog.hathitrust.org/Record/000832301","HathiTrust Record")</f>
        <v/>
      </c>
      <c r="AU507">
        <f>HYPERLINK("https://creighton-primo.hosted.exlibrisgroup.com/primo-explore/search?tab=default_tab&amp;search_scope=EVERYTHING&amp;vid=01CRU&amp;lang=en_US&amp;offset=0&amp;query=any,contains,991000808369702656","Catalog Record")</f>
        <v/>
      </c>
      <c r="AV507">
        <f>HYPERLINK("http://www.worldcat.org/oclc/13328058","WorldCat Record")</f>
        <v/>
      </c>
      <c r="AW507" t="inlineStr">
        <is>
          <t>836983591:eng</t>
        </is>
      </c>
      <c r="AX507" t="inlineStr">
        <is>
          <t>13328058</t>
        </is>
      </c>
      <c r="AY507" t="inlineStr">
        <is>
          <t>991000808369702656</t>
        </is>
      </c>
      <c r="AZ507" t="inlineStr">
        <is>
          <t>991000808369702656</t>
        </is>
      </c>
      <c r="BA507" t="inlineStr">
        <is>
          <t>2259228560002656</t>
        </is>
      </c>
      <c r="BB507" t="inlineStr">
        <is>
          <t>BOOK</t>
        </is>
      </c>
      <c r="BD507" t="inlineStr">
        <is>
          <t>9780029192702</t>
        </is>
      </c>
      <c r="BE507" t="inlineStr">
        <is>
          <t>32285000323948</t>
        </is>
      </c>
      <c r="BF507" t="inlineStr">
        <is>
          <t>893333794</t>
        </is>
      </c>
    </row>
    <row r="508">
      <c r="A508" t="inlineStr">
        <is>
          <t>No</t>
        </is>
      </c>
      <c r="B508" t="inlineStr">
        <is>
          <t>CURAL</t>
        </is>
      </c>
      <c r="C508" t="inlineStr">
        <is>
          <t>SHELVES</t>
        </is>
      </c>
      <c r="D508" t="inlineStr">
        <is>
          <t>BL65.M4 F52</t>
        </is>
      </c>
      <c r="E508" t="inlineStr">
        <is>
          <t>0                      BL 0065000M  4                  F  52</t>
        </is>
      </c>
      <c r="F508" t="inlineStr">
        <is>
          <t>Religion and pain : the spiritual dimensions of health care / Joseph H. Fichter.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0</t>
        </is>
      </c>
      <c r="M508" t="inlineStr">
        <is>
          <t>Fichter, Joseph Henry, 1908-1994.</t>
        </is>
      </c>
      <c r="N508" t="inlineStr">
        <is>
          <t>New York : Crossroad Pub. Co., 1981.</t>
        </is>
      </c>
      <c r="O508" t="inlineStr">
        <is>
          <t>1981</t>
        </is>
      </c>
      <c r="Q508" t="inlineStr">
        <is>
          <t>eng</t>
        </is>
      </c>
      <c r="R508" t="inlineStr">
        <is>
          <t>nyu</t>
        </is>
      </c>
      <c r="T508" t="inlineStr">
        <is>
          <t xml:space="preserve">BL </t>
        </is>
      </c>
      <c r="U508" t="n">
        <v>2</v>
      </c>
      <c r="V508" t="n">
        <v>2</v>
      </c>
      <c r="W508" t="inlineStr">
        <is>
          <t>1993-03-24</t>
        </is>
      </c>
      <c r="X508" t="inlineStr">
        <is>
          <t>1993-03-24</t>
        </is>
      </c>
      <c r="Y508" t="inlineStr">
        <is>
          <t>1990-09-28</t>
        </is>
      </c>
      <c r="Z508" t="inlineStr">
        <is>
          <t>1990-09-28</t>
        </is>
      </c>
      <c r="AA508" t="n">
        <v>368</v>
      </c>
      <c r="AB508" t="n">
        <v>325</v>
      </c>
      <c r="AC508" t="n">
        <v>329</v>
      </c>
      <c r="AD508" t="n">
        <v>3</v>
      </c>
      <c r="AE508" t="n">
        <v>3</v>
      </c>
      <c r="AF508" t="n">
        <v>28</v>
      </c>
      <c r="AG508" t="n">
        <v>28</v>
      </c>
      <c r="AH508" t="n">
        <v>9</v>
      </c>
      <c r="AI508" t="n">
        <v>9</v>
      </c>
      <c r="AJ508" t="n">
        <v>6</v>
      </c>
      <c r="AK508" t="n">
        <v>6</v>
      </c>
      <c r="AL508" t="n">
        <v>20</v>
      </c>
      <c r="AM508" t="n">
        <v>20</v>
      </c>
      <c r="AN508" t="n">
        <v>2</v>
      </c>
      <c r="AO508" t="n">
        <v>2</v>
      </c>
      <c r="AP508" t="n">
        <v>0</v>
      </c>
      <c r="AQ508" t="n">
        <v>0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HYPERLINK("https://creighton-primo.hosted.exlibrisgroup.com/primo-explore/search?tab=default_tab&amp;search_scope=EVERYTHING&amp;vid=01CRU&amp;lang=en_US&amp;offset=0&amp;query=any,contains,991005128389702656","Catalog Record")</f>
        <v/>
      </c>
      <c r="AV508">
        <f>HYPERLINK("http://www.worldcat.org/oclc/7555129","WorldCat Record")</f>
        <v/>
      </c>
      <c r="AW508" t="inlineStr">
        <is>
          <t>1008356405:eng</t>
        </is>
      </c>
      <c r="AX508" t="inlineStr">
        <is>
          <t>7555129</t>
        </is>
      </c>
      <c r="AY508" t="inlineStr">
        <is>
          <t>991005128389702656</t>
        </is>
      </c>
      <c r="AZ508" t="inlineStr">
        <is>
          <t>991005128389702656</t>
        </is>
      </c>
      <c r="BA508" t="inlineStr">
        <is>
          <t>2266304330002656</t>
        </is>
      </c>
      <c r="BB508" t="inlineStr">
        <is>
          <t>BOOK</t>
        </is>
      </c>
      <c r="BD508" t="inlineStr">
        <is>
          <t>9780824501020</t>
        </is>
      </c>
      <c r="BE508" t="inlineStr">
        <is>
          <t>32285000323971</t>
        </is>
      </c>
      <c r="BF508" t="inlineStr">
        <is>
          <t>893501366</t>
        </is>
      </c>
    </row>
    <row r="509">
      <c r="A509" t="inlineStr">
        <is>
          <t>No</t>
        </is>
      </c>
      <c r="B509" t="inlineStr">
        <is>
          <t>CURAL</t>
        </is>
      </c>
      <c r="C509" t="inlineStr">
        <is>
          <t>SHELVES</t>
        </is>
      </c>
      <c r="D509" t="inlineStr">
        <is>
          <t>BL65.M4 S26</t>
        </is>
      </c>
      <c r="E509" t="inlineStr">
        <is>
          <t>0                      BL 0065000M  4                  S  26</t>
        </is>
      </c>
      <c r="F509" t="inlineStr">
        <is>
          <t>Healing and wholeness / by John A. Sanford.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M509" t="inlineStr">
        <is>
          <t>Sanford, John A.</t>
        </is>
      </c>
      <c r="N509" t="inlineStr">
        <is>
          <t>New York : Paulist Press, c1977.</t>
        </is>
      </c>
      <c r="O509" t="inlineStr">
        <is>
          <t>1977</t>
        </is>
      </c>
      <c r="Q509" t="inlineStr">
        <is>
          <t>eng</t>
        </is>
      </c>
      <c r="R509" t="inlineStr">
        <is>
          <t>nyu</t>
        </is>
      </c>
      <c r="T509" t="inlineStr">
        <is>
          <t xml:space="preserve">BL </t>
        </is>
      </c>
      <c r="U509" t="n">
        <v>3</v>
      </c>
      <c r="V509" t="n">
        <v>3</v>
      </c>
      <c r="W509" t="inlineStr">
        <is>
          <t>1994-03-28</t>
        </is>
      </c>
      <c r="X509" t="inlineStr">
        <is>
          <t>1994-03-28</t>
        </is>
      </c>
      <c r="Y509" t="inlineStr">
        <is>
          <t>1990-09-28</t>
        </is>
      </c>
      <c r="Z509" t="inlineStr">
        <is>
          <t>1990-09-28</t>
        </is>
      </c>
      <c r="AA509" t="n">
        <v>601</v>
      </c>
      <c r="AB509" t="n">
        <v>520</v>
      </c>
      <c r="AC509" t="n">
        <v>534</v>
      </c>
      <c r="AD509" t="n">
        <v>3</v>
      </c>
      <c r="AE509" t="n">
        <v>3</v>
      </c>
      <c r="AF509" t="n">
        <v>29</v>
      </c>
      <c r="AG509" t="n">
        <v>30</v>
      </c>
      <c r="AH509" t="n">
        <v>12</v>
      </c>
      <c r="AI509" t="n">
        <v>13</v>
      </c>
      <c r="AJ509" t="n">
        <v>5</v>
      </c>
      <c r="AK509" t="n">
        <v>5</v>
      </c>
      <c r="AL509" t="n">
        <v>19</v>
      </c>
      <c r="AM509" t="n">
        <v>19</v>
      </c>
      <c r="AN509" t="n">
        <v>2</v>
      </c>
      <c r="AO509" t="n">
        <v>2</v>
      </c>
      <c r="AP509" t="n">
        <v>0</v>
      </c>
      <c r="AQ509" t="n">
        <v>0</v>
      </c>
      <c r="AR509" t="inlineStr">
        <is>
          <t>No</t>
        </is>
      </c>
      <c r="AS509" t="inlineStr">
        <is>
          <t>Yes</t>
        </is>
      </c>
      <c r="AT509">
        <f>HYPERLINK("http://catalog.hathitrust.org/Record/010666375","HathiTrust Record")</f>
        <v/>
      </c>
      <c r="AU509">
        <f>HYPERLINK("https://creighton-primo.hosted.exlibrisgroup.com/primo-explore/search?tab=default_tab&amp;search_scope=EVERYTHING&amp;vid=01CRU&amp;lang=en_US&amp;offset=0&amp;query=any,contains,991004482749702656","Catalog Record")</f>
        <v/>
      </c>
      <c r="AV509">
        <f>HYPERLINK("http://www.worldcat.org/oclc/3630494","WorldCat Record")</f>
        <v/>
      </c>
      <c r="AW509" t="inlineStr">
        <is>
          <t>466130:eng</t>
        </is>
      </c>
      <c r="AX509" t="inlineStr">
        <is>
          <t>3630494</t>
        </is>
      </c>
      <c r="AY509" t="inlineStr">
        <is>
          <t>991004482749702656</t>
        </is>
      </c>
      <c r="AZ509" t="inlineStr">
        <is>
          <t>991004482749702656</t>
        </is>
      </c>
      <c r="BA509" t="inlineStr">
        <is>
          <t>2258643470002656</t>
        </is>
      </c>
      <c r="BB509" t="inlineStr">
        <is>
          <t>BOOK</t>
        </is>
      </c>
      <c r="BD509" t="inlineStr">
        <is>
          <t>9780809102259</t>
        </is>
      </c>
      <c r="BE509" t="inlineStr">
        <is>
          <t>32285000323997</t>
        </is>
      </c>
      <c r="BF509" t="inlineStr">
        <is>
          <t>893436335</t>
        </is>
      </c>
    </row>
    <row r="510">
      <c r="A510" t="inlineStr">
        <is>
          <t>No</t>
        </is>
      </c>
      <c r="B510" t="inlineStr">
        <is>
          <t>CURAL</t>
        </is>
      </c>
      <c r="C510" t="inlineStr">
        <is>
          <t>SHELVES</t>
        </is>
      </c>
      <c r="D510" t="inlineStr">
        <is>
          <t>BL65.M4 T44</t>
        </is>
      </c>
      <c r="E510" t="inlineStr">
        <is>
          <t>0                      BL 0065000M  4                  T  44</t>
        </is>
      </c>
      <c r="F510" t="inlineStr">
        <is>
          <t>Theological roots of wholistic health care : a response to the religious questions which have been raised / Granger E. Westberg, editor ; Contributors, Thomas A. Droege ... [et al.].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N510" t="inlineStr">
        <is>
          <t>Hinsdale, Il. : Wholistic Health Ctrs., 1979.</t>
        </is>
      </c>
      <c r="O510" t="inlineStr">
        <is>
          <t>1979</t>
        </is>
      </c>
      <c r="P510" t="inlineStr">
        <is>
          <t>1st ed.</t>
        </is>
      </c>
      <c r="Q510" t="inlineStr">
        <is>
          <t>eng</t>
        </is>
      </c>
      <c r="R510" t="inlineStr">
        <is>
          <t>ilu</t>
        </is>
      </c>
      <c r="S510" t="inlineStr">
        <is>
          <t>Monographs on wholistic health care ; 5</t>
        </is>
      </c>
      <c r="T510" t="inlineStr">
        <is>
          <t xml:space="preserve">BL </t>
        </is>
      </c>
      <c r="U510" t="n">
        <v>3</v>
      </c>
      <c r="V510" t="n">
        <v>3</v>
      </c>
      <c r="W510" t="inlineStr">
        <is>
          <t>1994-04-08</t>
        </is>
      </c>
      <c r="X510" t="inlineStr">
        <is>
          <t>1994-04-08</t>
        </is>
      </c>
      <c r="Y510" t="inlineStr">
        <is>
          <t>1990-09-28</t>
        </is>
      </c>
      <c r="Z510" t="inlineStr">
        <is>
          <t>1990-09-28</t>
        </is>
      </c>
      <c r="AA510" t="n">
        <v>58</v>
      </c>
      <c r="AB510" t="n">
        <v>49</v>
      </c>
      <c r="AC510" t="n">
        <v>58</v>
      </c>
      <c r="AD510" t="n">
        <v>1</v>
      </c>
      <c r="AE510" t="n">
        <v>1</v>
      </c>
      <c r="AF510" t="n">
        <v>1</v>
      </c>
      <c r="AG510" t="n">
        <v>1</v>
      </c>
      <c r="AH510" t="n">
        <v>1</v>
      </c>
      <c r="AI510" t="n">
        <v>1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inlineStr">
        <is>
          <t>No</t>
        </is>
      </c>
      <c r="AS510" t="inlineStr">
        <is>
          <t>No</t>
        </is>
      </c>
      <c r="AU510">
        <f>HYPERLINK("https://creighton-primo.hosted.exlibrisgroup.com/primo-explore/search?tab=default_tab&amp;search_scope=EVERYTHING&amp;vid=01CRU&amp;lang=en_US&amp;offset=0&amp;query=any,contains,991004854029702656","Catalog Record")</f>
        <v/>
      </c>
      <c r="AV510">
        <f>HYPERLINK("http://www.worldcat.org/oclc/5657392","WorldCat Record")</f>
        <v/>
      </c>
      <c r="AW510" t="inlineStr">
        <is>
          <t>425910843:eng</t>
        </is>
      </c>
      <c r="AX510" t="inlineStr">
        <is>
          <t>5657392</t>
        </is>
      </c>
      <c r="AY510" t="inlineStr">
        <is>
          <t>991004854029702656</t>
        </is>
      </c>
      <c r="AZ510" t="inlineStr">
        <is>
          <t>991004854029702656</t>
        </is>
      </c>
      <c r="BA510" t="inlineStr">
        <is>
          <t>2272082730002656</t>
        </is>
      </c>
      <c r="BB510" t="inlineStr">
        <is>
          <t>BOOK</t>
        </is>
      </c>
      <c r="BE510" t="inlineStr">
        <is>
          <t>32285000324003</t>
        </is>
      </c>
      <c r="BF510" t="inlineStr">
        <is>
          <t>893722634</t>
        </is>
      </c>
    </row>
    <row r="511">
      <c r="A511" t="inlineStr">
        <is>
          <t>No</t>
        </is>
      </c>
      <c r="B511" t="inlineStr">
        <is>
          <t>CURAL</t>
        </is>
      </c>
      <c r="C511" t="inlineStr">
        <is>
          <t>SHELVES</t>
        </is>
      </c>
      <c r="D511" t="inlineStr">
        <is>
          <t>BL65.N3 V6</t>
        </is>
      </c>
      <c r="E511" t="inlineStr">
        <is>
          <t>0                      BL 0065000N  3                  V  6</t>
        </is>
      </c>
      <c r="F511" t="inlineStr">
        <is>
          <t>Religion and nationalism in Southeast Asia: Burma, Indonesia, the Philippines.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Von der Mehden, Fred R.</t>
        </is>
      </c>
      <c r="N511" t="inlineStr">
        <is>
          <t>Madison, University of Wisconsin Press, 1963.</t>
        </is>
      </c>
      <c r="O511" t="inlineStr">
        <is>
          <t>1963</t>
        </is>
      </c>
      <c r="Q511" t="inlineStr">
        <is>
          <t>eng</t>
        </is>
      </c>
      <c r="R511" t="inlineStr">
        <is>
          <t>wiu</t>
        </is>
      </c>
      <c r="T511" t="inlineStr">
        <is>
          <t xml:space="preserve">BL </t>
        </is>
      </c>
      <c r="U511" t="n">
        <v>2</v>
      </c>
      <c r="V511" t="n">
        <v>2</v>
      </c>
      <c r="W511" t="inlineStr">
        <is>
          <t>1999-04-19</t>
        </is>
      </c>
      <c r="X511" t="inlineStr">
        <is>
          <t>1999-04-19</t>
        </is>
      </c>
      <c r="Y511" t="inlineStr">
        <is>
          <t>1990-09-28</t>
        </is>
      </c>
      <c r="Z511" t="inlineStr">
        <is>
          <t>1990-09-28</t>
        </is>
      </c>
      <c r="AA511" t="n">
        <v>809</v>
      </c>
      <c r="AB511" t="n">
        <v>688</v>
      </c>
      <c r="AC511" t="n">
        <v>785</v>
      </c>
      <c r="AD511" t="n">
        <v>6</v>
      </c>
      <c r="AE511" t="n">
        <v>6</v>
      </c>
      <c r="AF511" t="n">
        <v>34</v>
      </c>
      <c r="AG511" t="n">
        <v>41</v>
      </c>
      <c r="AH511" t="n">
        <v>14</v>
      </c>
      <c r="AI511" t="n">
        <v>19</v>
      </c>
      <c r="AJ511" t="n">
        <v>8</v>
      </c>
      <c r="AK511" t="n">
        <v>9</v>
      </c>
      <c r="AL511" t="n">
        <v>17</v>
      </c>
      <c r="AM511" t="n">
        <v>20</v>
      </c>
      <c r="AN511" t="n">
        <v>4</v>
      </c>
      <c r="AO511" t="n">
        <v>4</v>
      </c>
      <c r="AP511" t="n">
        <v>0</v>
      </c>
      <c r="AQ511" t="n">
        <v>0</v>
      </c>
      <c r="AR511" t="inlineStr">
        <is>
          <t>Yes</t>
        </is>
      </c>
      <c r="AS511" t="inlineStr">
        <is>
          <t>No</t>
        </is>
      </c>
      <c r="AT511">
        <f>HYPERLINK("http://catalog.hathitrust.org/Record/001267016","HathiTrust Record")</f>
        <v/>
      </c>
      <c r="AU511">
        <f>HYPERLINK("https://creighton-primo.hosted.exlibrisgroup.com/primo-explore/search?tab=default_tab&amp;search_scope=EVERYTHING&amp;vid=01CRU&amp;lang=en_US&amp;offset=0&amp;query=any,contains,991002570069702656","Catalog Record")</f>
        <v/>
      </c>
      <c r="AV511">
        <f>HYPERLINK("http://www.worldcat.org/oclc/373439","WorldCat Record")</f>
        <v/>
      </c>
      <c r="AW511" t="inlineStr">
        <is>
          <t>1456275:eng</t>
        </is>
      </c>
      <c r="AX511" t="inlineStr">
        <is>
          <t>373439</t>
        </is>
      </c>
      <c r="AY511" t="inlineStr">
        <is>
          <t>991002570069702656</t>
        </is>
      </c>
      <c r="AZ511" t="inlineStr">
        <is>
          <t>991002570069702656</t>
        </is>
      </c>
      <c r="BA511" t="inlineStr">
        <is>
          <t>2261217880002656</t>
        </is>
      </c>
      <c r="BB511" t="inlineStr">
        <is>
          <t>BOOK</t>
        </is>
      </c>
      <c r="BE511" t="inlineStr">
        <is>
          <t>32285000324029</t>
        </is>
      </c>
      <c r="BF511" t="inlineStr">
        <is>
          <t>893530183</t>
        </is>
      </c>
    </row>
    <row r="512">
      <c r="A512" t="inlineStr">
        <is>
          <t>No</t>
        </is>
      </c>
      <c r="B512" t="inlineStr">
        <is>
          <t>CURAL</t>
        </is>
      </c>
      <c r="C512" t="inlineStr">
        <is>
          <t>SHELVES</t>
        </is>
      </c>
      <c r="D512" t="inlineStr">
        <is>
          <t>BL65.P3 N44</t>
        </is>
      </c>
      <c r="E512" t="inlineStr">
        <is>
          <t>0                      BL 0065000P  3                  N  44</t>
        </is>
      </c>
      <c r="F512" t="inlineStr">
        <is>
          <t>Psychic phenomena and religion: ESP, prayer, healing, survival, by H. Richard Neff.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Neff, H. Richard, 1933-</t>
        </is>
      </c>
      <c r="N512" t="inlineStr">
        <is>
          <t>Philadelphia, Westminster Press [1971]</t>
        </is>
      </c>
      <c r="O512" t="inlineStr">
        <is>
          <t>1971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BL </t>
        </is>
      </c>
      <c r="U512" t="n">
        <v>4</v>
      </c>
      <c r="V512" t="n">
        <v>4</v>
      </c>
      <c r="W512" t="inlineStr">
        <is>
          <t>2000-04-05</t>
        </is>
      </c>
      <c r="X512" t="inlineStr">
        <is>
          <t>2000-04-05</t>
        </is>
      </c>
      <c r="Y512" t="inlineStr">
        <is>
          <t>1990-09-28</t>
        </is>
      </c>
      <c r="Z512" t="inlineStr">
        <is>
          <t>1990-09-28</t>
        </is>
      </c>
      <c r="AA512" t="n">
        <v>318</v>
      </c>
      <c r="AB512" t="n">
        <v>289</v>
      </c>
      <c r="AC512" t="n">
        <v>290</v>
      </c>
      <c r="AD512" t="n">
        <v>2</v>
      </c>
      <c r="AE512" t="n">
        <v>2</v>
      </c>
      <c r="AF512" t="n">
        <v>14</v>
      </c>
      <c r="AG512" t="n">
        <v>14</v>
      </c>
      <c r="AH512" t="n">
        <v>5</v>
      </c>
      <c r="AI512" t="n">
        <v>5</v>
      </c>
      <c r="AJ512" t="n">
        <v>2</v>
      </c>
      <c r="AK512" t="n">
        <v>2</v>
      </c>
      <c r="AL512" t="n">
        <v>11</v>
      </c>
      <c r="AM512" t="n">
        <v>11</v>
      </c>
      <c r="AN512" t="n">
        <v>0</v>
      </c>
      <c r="AO512" t="n">
        <v>0</v>
      </c>
      <c r="AP512" t="n">
        <v>0</v>
      </c>
      <c r="AQ512" t="n">
        <v>0</v>
      </c>
      <c r="AR512" t="inlineStr">
        <is>
          <t>No</t>
        </is>
      </c>
      <c r="AS512" t="inlineStr">
        <is>
          <t>No</t>
        </is>
      </c>
      <c r="AU512">
        <f>HYPERLINK("https://creighton-primo.hosted.exlibrisgroup.com/primo-explore/search?tab=default_tab&amp;search_scope=EVERYTHING&amp;vid=01CRU&amp;lang=en_US&amp;offset=0&amp;query=any,contains,991000935029702656","Catalog Record")</f>
        <v/>
      </c>
      <c r="AV512">
        <f>HYPERLINK("http://www.worldcat.org/oclc/164177","WorldCat Record")</f>
        <v/>
      </c>
      <c r="AW512" t="inlineStr">
        <is>
          <t>422252361:eng</t>
        </is>
      </c>
      <c r="AX512" t="inlineStr">
        <is>
          <t>164177</t>
        </is>
      </c>
      <c r="AY512" t="inlineStr">
        <is>
          <t>991000935029702656</t>
        </is>
      </c>
      <c r="AZ512" t="inlineStr">
        <is>
          <t>991000935029702656</t>
        </is>
      </c>
      <c r="BA512" t="inlineStr">
        <is>
          <t>2272100040002656</t>
        </is>
      </c>
      <c r="BB512" t="inlineStr">
        <is>
          <t>BOOK</t>
        </is>
      </c>
      <c r="BD512" t="inlineStr">
        <is>
          <t>9780664249311</t>
        </is>
      </c>
      <c r="BE512" t="inlineStr">
        <is>
          <t>32285000324037</t>
        </is>
      </c>
      <c r="BF512" t="inlineStr">
        <is>
          <t>893426185</t>
        </is>
      </c>
    </row>
    <row r="513">
      <c r="A513" t="inlineStr">
        <is>
          <t>No</t>
        </is>
      </c>
      <c r="B513" t="inlineStr">
        <is>
          <t>CURAL</t>
        </is>
      </c>
      <c r="C513" t="inlineStr">
        <is>
          <t>SHELVES</t>
        </is>
      </c>
      <c r="D513" t="inlineStr">
        <is>
          <t>BL65.P4 A44 1991</t>
        </is>
      </c>
      <c r="E513" t="inlineStr">
        <is>
          <t>0                      BL 0065000P  4                  A  44          1991</t>
        </is>
      </c>
      <c r="F513" t="inlineStr">
        <is>
          <t>The American search for peace : moral reasoning, religious hope, and national security / essays by James F. Childress ... [et al.] ; with conversations reported by Alberto R. Coll ; edited by George Weigel and John P. Langan.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Washington, D.C. : Georgetown University Press, c1991.</t>
        </is>
      </c>
      <c r="O513" t="inlineStr">
        <is>
          <t>1991</t>
        </is>
      </c>
      <c r="Q513" t="inlineStr">
        <is>
          <t>eng</t>
        </is>
      </c>
      <c r="R513" t="inlineStr">
        <is>
          <t>dcu</t>
        </is>
      </c>
      <c r="T513" t="inlineStr">
        <is>
          <t xml:space="preserve">BL </t>
        </is>
      </c>
      <c r="U513" t="n">
        <v>1</v>
      </c>
      <c r="V513" t="n">
        <v>1</v>
      </c>
      <c r="W513" t="inlineStr">
        <is>
          <t>2008-02-05</t>
        </is>
      </c>
      <c r="X513" t="inlineStr">
        <is>
          <t>2008-02-05</t>
        </is>
      </c>
      <c r="Y513" t="inlineStr">
        <is>
          <t>2008-02-05</t>
        </is>
      </c>
      <c r="Z513" t="inlineStr">
        <is>
          <t>2008-02-05</t>
        </is>
      </c>
      <c r="AA513" t="n">
        <v>235</v>
      </c>
      <c r="AB513" t="n">
        <v>209</v>
      </c>
      <c r="AC513" t="n">
        <v>209</v>
      </c>
      <c r="AD513" t="n">
        <v>2</v>
      </c>
      <c r="AE513" t="n">
        <v>2</v>
      </c>
      <c r="AF513" t="n">
        <v>22</v>
      </c>
      <c r="AG513" t="n">
        <v>22</v>
      </c>
      <c r="AH513" t="n">
        <v>10</v>
      </c>
      <c r="AI513" t="n">
        <v>10</v>
      </c>
      <c r="AJ513" t="n">
        <v>6</v>
      </c>
      <c r="AK513" t="n">
        <v>6</v>
      </c>
      <c r="AL513" t="n">
        <v>11</v>
      </c>
      <c r="AM513" t="n">
        <v>11</v>
      </c>
      <c r="AN513" t="n">
        <v>1</v>
      </c>
      <c r="AO513" t="n">
        <v>1</v>
      </c>
      <c r="AP513" t="n">
        <v>1</v>
      </c>
      <c r="AQ513" t="n">
        <v>1</v>
      </c>
      <c r="AR513" t="inlineStr">
        <is>
          <t>No</t>
        </is>
      </c>
      <c r="AS513" t="inlineStr">
        <is>
          <t>No</t>
        </is>
      </c>
      <c r="AU513">
        <f>HYPERLINK("https://creighton-primo.hosted.exlibrisgroup.com/primo-explore/search?tab=default_tab&amp;search_scope=EVERYTHING&amp;vid=01CRU&amp;lang=en_US&amp;offset=0&amp;query=any,contains,991005174319702656","Catalog Record")</f>
        <v/>
      </c>
      <c r="AV513">
        <f>HYPERLINK("http://www.worldcat.org/oclc/22887843","WorldCat Record")</f>
        <v/>
      </c>
      <c r="AW513" t="inlineStr">
        <is>
          <t>24555602:eng</t>
        </is>
      </c>
      <c r="AX513" t="inlineStr">
        <is>
          <t>22887843</t>
        </is>
      </c>
      <c r="AY513" t="inlineStr">
        <is>
          <t>991005174319702656</t>
        </is>
      </c>
      <c r="AZ513" t="inlineStr">
        <is>
          <t>991005174319702656</t>
        </is>
      </c>
      <c r="BA513" t="inlineStr">
        <is>
          <t>2268708230002656</t>
        </is>
      </c>
      <c r="BB513" t="inlineStr">
        <is>
          <t>BOOK</t>
        </is>
      </c>
      <c r="BD513" t="inlineStr">
        <is>
          <t>9780878405077</t>
        </is>
      </c>
      <c r="BE513" t="inlineStr">
        <is>
          <t>32285005392419</t>
        </is>
      </c>
      <c r="BF513" t="inlineStr">
        <is>
          <t>893713569</t>
        </is>
      </c>
    </row>
    <row r="514">
      <c r="A514" t="inlineStr">
        <is>
          <t>No</t>
        </is>
      </c>
      <c r="B514" t="inlineStr">
        <is>
          <t>CURAL</t>
        </is>
      </c>
      <c r="C514" t="inlineStr">
        <is>
          <t>SHELVES</t>
        </is>
      </c>
      <c r="D514" t="inlineStr">
        <is>
          <t>BL65.P7 S6</t>
        </is>
      </c>
      <c r="E514" t="inlineStr">
        <is>
          <t>0                      BL 0065000P  7                  S  6</t>
        </is>
      </c>
      <c r="F514" t="inlineStr">
        <is>
          <t>Religion and political development, an analytic study.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Smith, Donald Eugene, 1927-</t>
        </is>
      </c>
      <c r="N514" t="inlineStr">
        <is>
          <t>Boston, Little, Brown [1970]</t>
        </is>
      </c>
      <c r="O514" t="inlineStr">
        <is>
          <t>1970</t>
        </is>
      </c>
      <c r="Q514" t="inlineStr">
        <is>
          <t>eng</t>
        </is>
      </c>
      <c r="R514" t="inlineStr">
        <is>
          <t>mau</t>
        </is>
      </c>
      <c r="S514" t="inlineStr">
        <is>
          <t>The Little, Brown series in comparative politics</t>
        </is>
      </c>
      <c r="T514" t="inlineStr">
        <is>
          <t xml:space="preserve">BL </t>
        </is>
      </c>
      <c r="U514" t="n">
        <v>3</v>
      </c>
      <c r="V514" t="n">
        <v>3</v>
      </c>
      <c r="W514" t="inlineStr">
        <is>
          <t>2010-02-15</t>
        </is>
      </c>
      <c r="X514" t="inlineStr">
        <is>
          <t>2010-02-15</t>
        </is>
      </c>
      <c r="Y514" t="inlineStr">
        <is>
          <t>1990-09-28</t>
        </is>
      </c>
      <c r="Z514" t="inlineStr">
        <is>
          <t>1990-09-28</t>
        </is>
      </c>
      <c r="AA514" t="n">
        <v>394</v>
      </c>
      <c r="AB514" t="n">
        <v>317</v>
      </c>
      <c r="AC514" t="n">
        <v>319</v>
      </c>
      <c r="AD514" t="n">
        <v>1</v>
      </c>
      <c r="AE514" t="n">
        <v>1</v>
      </c>
      <c r="AF514" t="n">
        <v>15</v>
      </c>
      <c r="AG514" t="n">
        <v>15</v>
      </c>
      <c r="AH514" t="n">
        <v>4</v>
      </c>
      <c r="AI514" t="n">
        <v>4</v>
      </c>
      <c r="AJ514" t="n">
        <v>6</v>
      </c>
      <c r="AK514" t="n">
        <v>6</v>
      </c>
      <c r="AL514" t="n">
        <v>13</v>
      </c>
      <c r="AM514" t="n">
        <v>13</v>
      </c>
      <c r="AN514" t="n">
        <v>0</v>
      </c>
      <c r="AO514" t="n">
        <v>0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HYPERLINK("http://catalog.hathitrust.org/Record/001391598","HathiTrust Record")</f>
        <v/>
      </c>
      <c r="AU514">
        <f>HYPERLINK("https://creighton-primo.hosted.exlibrisgroup.com/primo-explore/search?tab=default_tab&amp;search_scope=EVERYTHING&amp;vid=01CRU&amp;lang=en_US&amp;offset=0&amp;query=any,contains,991000592449702656","Catalog Record")</f>
        <v/>
      </c>
      <c r="AV514">
        <f>HYPERLINK("http://www.worldcat.org/oclc/96830","WorldCat Record")</f>
        <v/>
      </c>
      <c r="AW514" t="inlineStr">
        <is>
          <t>1323133:eng</t>
        </is>
      </c>
      <c r="AX514" t="inlineStr">
        <is>
          <t>96830</t>
        </is>
      </c>
      <c r="AY514" t="inlineStr">
        <is>
          <t>991000592449702656</t>
        </is>
      </c>
      <c r="AZ514" t="inlineStr">
        <is>
          <t>991000592449702656</t>
        </is>
      </c>
      <c r="BA514" t="inlineStr">
        <is>
          <t>2271078310002656</t>
        </is>
      </c>
      <c r="BB514" t="inlineStr">
        <is>
          <t>BOOK</t>
        </is>
      </c>
      <c r="BE514" t="inlineStr">
        <is>
          <t>32285000324110</t>
        </is>
      </c>
      <c r="BF514" t="inlineStr">
        <is>
          <t>893784364</t>
        </is>
      </c>
    </row>
    <row r="515">
      <c r="A515" t="inlineStr">
        <is>
          <t>No</t>
        </is>
      </c>
      <c r="B515" t="inlineStr">
        <is>
          <t>CURAL</t>
        </is>
      </c>
      <c r="C515" t="inlineStr">
        <is>
          <t>SHELVES</t>
        </is>
      </c>
      <c r="D515" t="inlineStr">
        <is>
          <t>BL65.R48 R45 1985</t>
        </is>
      </c>
      <c r="E515" t="inlineStr">
        <is>
          <t>0                      BL 0065000R  48                 R  45          1985</t>
        </is>
      </c>
      <c r="F515" t="inlineStr">
        <is>
          <t>Religion, rebellion, revolution : an interdisciplinary and cross-cultural collection of essays / edited by Bruce Lincoln.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N515" t="inlineStr">
        <is>
          <t>New York : St. Martin's Press, 1985.</t>
        </is>
      </c>
      <c r="O515" t="inlineStr">
        <is>
          <t>1985</t>
        </is>
      </c>
      <c r="Q515" t="inlineStr">
        <is>
          <t>eng</t>
        </is>
      </c>
      <c r="R515" t="inlineStr">
        <is>
          <t>nyu</t>
        </is>
      </c>
      <c r="T515" t="inlineStr">
        <is>
          <t xml:space="preserve">BL </t>
        </is>
      </c>
      <c r="U515" t="n">
        <v>1</v>
      </c>
      <c r="V515" t="n">
        <v>1</v>
      </c>
      <c r="W515" t="inlineStr">
        <is>
          <t>2010-02-15</t>
        </is>
      </c>
      <c r="X515" t="inlineStr">
        <is>
          <t>2010-02-15</t>
        </is>
      </c>
      <c r="Y515" t="inlineStr">
        <is>
          <t>1990-09-28</t>
        </is>
      </c>
      <c r="Z515" t="inlineStr">
        <is>
          <t>1990-09-28</t>
        </is>
      </c>
      <c r="AA515" t="n">
        <v>297</v>
      </c>
      <c r="AB515" t="n">
        <v>262</v>
      </c>
      <c r="AC515" t="n">
        <v>331</v>
      </c>
      <c r="AD515" t="n">
        <v>2</v>
      </c>
      <c r="AE515" t="n">
        <v>2</v>
      </c>
      <c r="AF515" t="n">
        <v>17</v>
      </c>
      <c r="AG515" t="n">
        <v>17</v>
      </c>
      <c r="AH515" t="n">
        <v>7</v>
      </c>
      <c r="AI515" t="n">
        <v>7</v>
      </c>
      <c r="AJ515" t="n">
        <v>5</v>
      </c>
      <c r="AK515" t="n">
        <v>5</v>
      </c>
      <c r="AL515" t="n">
        <v>10</v>
      </c>
      <c r="AM515" t="n">
        <v>10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No</t>
        </is>
      </c>
      <c r="AU515">
        <f>HYPERLINK("https://creighton-primo.hosted.exlibrisgroup.com/primo-explore/search?tab=default_tab&amp;search_scope=EVERYTHING&amp;vid=01CRU&amp;lang=en_US&amp;offset=0&amp;query=any,contains,991000584289702656","Catalog Record")</f>
        <v/>
      </c>
      <c r="AV515">
        <f>HYPERLINK("http://www.worldcat.org/oclc/11755715","WorldCat Record")</f>
        <v/>
      </c>
      <c r="AW515" t="inlineStr">
        <is>
          <t>836727228:eng</t>
        </is>
      </c>
      <c r="AX515" t="inlineStr">
        <is>
          <t>11755715</t>
        </is>
      </c>
      <c r="AY515" t="inlineStr">
        <is>
          <t>991000584289702656</t>
        </is>
      </c>
      <c r="AZ515" t="inlineStr">
        <is>
          <t>991000584289702656</t>
        </is>
      </c>
      <c r="BA515" t="inlineStr">
        <is>
          <t>2270766110002656</t>
        </is>
      </c>
      <c r="BB515" t="inlineStr">
        <is>
          <t>BOOK</t>
        </is>
      </c>
      <c r="BD515" t="inlineStr">
        <is>
          <t>9780312670610</t>
        </is>
      </c>
      <c r="BE515" t="inlineStr">
        <is>
          <t>32285000324144</t>
        </is>
      </c>
      <c r="BF515" t="inlineStr">
        <is>
          <t>893425848</t>
        </is>
      </c>
    </row>
    <row r="516">
      <c r="A516" t="inlineStr">
        <is>
          <t>No</t>
        </is>
      </c>
      <c r="B516" t="inlineStr">
        <is>
          <t>CURAL</t>
        </is>
      </c>
      <c r="C516" t="inlineStr">
        <is>
          <t>SHELVES</t>
        </is>
      </c>
      <c r="D516" t="inlineStr">
        <is>
          <t>BL65.R48 T47 1987</t>
        </is>
      </c>
      <c r="E516" t="inlineStr">
        <is>
          <t>0                      BL 0065000R  48                 T  47          1987</t>
        </is>
      </c>
      <c r="F516" t="inlineStr">
        <is>
          <t>The Terrible meek : religion and revolution in cross-cultural perspective / edited by Lonnie D. Kliever.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N516" t="inlineStr">
        <is>
          <t>New York : Paragon House Publishers, c1987.</t>
        </is>
      </c>
      <c r="O516" t="inlineStr">
        <is>
          <t>1987</t>
        </is>
      </c>
      <c r="Q516" t="inlineStr">
        <is>
          <t>eng</t>
        </is>
      </c>
      <c r="R516" t="inlineStr">
        <is>
          <t>nyu</t>
        </is>
      </c>
      <c r="T516" t="inlineStr">
        <is>
          <t xml:space="preserve">BL </t>
        </is>
      </c>
      <c r="U516" t="n">
        <v>5</v>
      </c>
      <c r="V516" t="n">
        <v>5</v>
      </c>
      <c r="W516" t="inlineStr">
        <is>
          <t>1994-04-27</t>
        </is>
      </c>
      <c r="X516" t="inlineStr">
        <is>
          <t>1994-04-27</t>
        </is>
      </c>
      <c r="Y516" t="inlineStr">
        <is>
          <t>1990-04-30</t>
        </is>
      </c>
      <c r="Z516" t="inlineStr">
        <is>
          <t>1990-04-30</t>
        </is>
      </c>
      <c r="AA516" t="n">
        <v>325</v>
      </c>
      <c r="AB516" t="n">
        <v>303</v>
      </c>
      <c r="AC516" t="n">
        <v>323</v>
      </c>
      <c r="AD516" t="n">
        <v>4</v>
      </c>
      <c r="AE516" t="n">
        <v>4</v>
      </c>
      <c r="AF516" t="n">
        <v>13</v>
      </c>
      <c r="AG516" t="n">
        <v>14</v>
      </c>
      <c r="AH516" t="n">
        <v>2</v>
      </c>
      <c r="AI516" t="n">
        <v>2</v>
      </c>
      <c r="AJ516" t="n">
        <v>2</v>
      </c>
      <c r="AK516" t="n">
        <v>3</v>
      </c>
      <c r="AL516" t="n">
        <v>9</v>
      </c>
      <c r="AM516" t="n">
        <v>10</v>
      </c>
      <c r="AN516" t="n">
        <v>3</v>
      </c>
      <c r="AO516" t="n">
        <v>3</v>
      </c>
      <c r="AP516" t="n">
        <v>0</v>
      </c>
      <c r="AQ516" t="n">
        <v>0</v>
      </c>
      <c r="AR516" t="inlineStr">
        <is>
          <t>No</t>
        </is>
      </c>
      <c r="AS516" t="inlineStr">
        <is>
          <t>Yes</t>
        </is>
      </c>
      <c r="AT516">
        <f>HYPERLINK("http://catalog.hathitrust.org/Record/000922904","HathiTrust Record")</f>
        <v/>
      </c>
      <c r="AU516">
        <f>HYPERLINK("https://creighton-primo.hosted.exlibrisgroup.com/primo-explore/search?tab=default_tab&amp;search_scope=EVERYTHING&amp;vid=01CRU&amp;lang=en_US&amp;offset=0&amp;query=any,contains,991000937989702656","Catalog Record")</f>
        <v/>
      </c>
      <c r="AV516">
        <f>HYPERLINK("http://www.worldcat.org/oclc/14377306","WorldCat Record")</f>
        <v/>
      </c>
      <c r="AW516" t="inlineStr">
        <is>
          <t>144018150:eng</t>
        </is>
      </c>
      <c r="AX516" t="inlineStr">
        <is>
          <t>14377306</t>
        </is>
      </c>
      <c r="AY516" t="inlineStr">
        <is>
          <t>991000937989702656</t>
        </is>
      </c>
      <c r="AZ516" t="inlineStr">
        <is>
          <t>991000937989702656</t>
        </is>
      </c>
      <c r="BA516" t="inlineStr">
        <is>
          <t>2262249340002656</t>
        </is>
      </c>
      <c r="BB516" t="inlineStr">
        <is>
          <t>BOOK</t>
        </is>
      </c>
      <c r="BD516" t="inlineStr">
        <is>
          <t>9780887022142</t>
        </is>
      </c>
      <c r="BE516" t="inlineStr">
        <is>
          <t>32285000127604</t>
        </is>
      </c>
      <c r="BF516" t="inlineStr">
        <is>
          <t>893237739</t>
        </is>
      </c>
    </row>
    <row r="517">
      <c r="A517" t="inlineStr">
        <is>
          <t>No</t>
        </is>
      </c>
      <c r="B517" t="inlineStr">
        <is>
          <t>CURAL</t>
        </is>
      </c>
      <c r="C517" t="inlineStr">
        <is>
          <t>SHELVES</t>
        </is>
      </c>
      <c r="D517" t="inlineStr">
        <is>
          <t>BL65.S4 H2 1948</t>
        </is>
      </c>
      <c r="E517" t="inlineStr">
        <is>
          <t>0                      BL 0065000S  4                  H  2           1948</t>
        </is>
      </c>
      <c r="F517" t="inlineStr">
        <is>
          <t>Accent on purity : a Catholic guide for sex education / by Joseph E. Haley.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M517" t="inlineStr">
        <is>
          <t>Haley, Joseph E. (Joseph Edmund)</t>
        </is>
      </c>
      <c r="N517" t="inlineStr">
        <is>
          <t>South Bend [Ind.] : Fides Publishers, [1948]</t>
        </is>
      </c>
      <c r="O517" t="inlineStr">
        <is>
          <t>1948</t>
        </is>
      </c>
      <c r="Q517" t="inlineStr">
        <is>
          <t>eng</t>
        </is>
      </c>
      <c r="R517" t="inlineStr">
        <is>
          <t>___</t>
        </is>
      </c>
      <c r="T517" t="inlineStr">
        <is>
          <t xml:space="preserve">BL </t>
        </is>
      </c>
      <c r="U517" t="n">
        <v>6</v>
      </c>
      <c r="V517" t="n">
        <v>6</v>
      </c>
      <c r="W517" t="inlineStr">
        <is>
          <t>2005-03-29</t>
        </is>
      </c>
      <c r="X517" t="inlineStr">
        <is>
          <t>2005-03-29</t>
        </is>
      </c>
      <c r="Y517" t="inlineStr">
        <is>
          <t>1990-09-28</t>
        </is>
      </c>
      <c r="Z517" t="inlineStr">
        <is>
          <t>1990-09-28</t>
        </is>
      </c>
      <c r="AA517" t="n">
        <v>30</v>
      </c>
      <c r="AB517" t="n">
        <v>30</v>
      </c>
      <c r="AC517" t="n">
        <v>73</v>
      </c>
      <c r="AD517" t="n">
        <v>1</v>
      </c>
      <c r="AE517" t="n">
        <v>1</v>
      </c>
      <c r="AF517" t="n">
        <v>11</v>
      </c>
      <c r="AG517" t="n">
        <v>14</v>
      </c>
      <c r="AH517" t="n">
        <v>0</v>
      </c>
      <c r="AI517" t="n">
        <v>2</v>
      </c>
      <c r="AJ517" t="n">
        <v>4</v>
      </c>
      <c r="AK517" t="n">
        <v>4</v>
      </c>
      <c r="AL517" t="n">
        <v>9</v>
      </c>
      <c r="AM517" t="n">
        <v>11</v>
      </c>
      <c r="AN517" t="n">
        <v>0</v>
      </c>
      <c r="AO517" t="n">
        <v>0</v>
      </c>
      <c r="AP517" t="n">
        <v>0</v>
      </c>
      <c r="AQ517" t="n">
        <v>0</v>
      </c>
      <c r="AR517" t="inlineStr">
        <is>
          <t>No</t>
        </is>
      </c>
      <c r="AS517" t="inlineStr">
        <is>
          <t>No</t>
        </is>
      </c>
      <c r="AU517">
        <f>HYPERLINK("https://creighton-primo.hosted.exlibrisgroup.com/primo-explore/search?tab=default_tab&amp;search_scope=EVERYTHING&amp;vid=01CRU&amp;lang=en_US&amp;offset=0&amp;query=any,contains,991003668579702656","Catalog Record")</f>
        <v/>
      </c>
      <c r="AV517">
        <f>HYPERLINK("http://www.worldcat.org/oclc/1284170","WorldCat Record")</f>
        <v/>
      </c>
      <c r="AW517" t="inlineStr">
        <is>
          <t>856147235:eng</t>
        </is>
      </c>
      <c r="AX517" t="inlineStr">
        <is>
          <t>1284170</t>
        </is>
      </c>
      <c r="AY517" t="inlineStr">
        <is>
          <t>991003668579702656</t>
        </is>
      </c>
      <c r="AZ517" t="inlineStr">
        <is>
          <t>991003668579702656</t>
        </is>
      </c>
      <c r="BA517" t="inlineStr">
        <is>
          <t>2265149400002656</t>
        </is>
      </c>
      <c r="BB517" t="inlineStr">
        <is>
          <t>BOOK</t>
        </is>
      </c>
      <c r="BE517" t="inlineStr">
        <is>
          <t>32285000324151</t>
        </is>
      </c>
      <c r="BF517" t="inlineStr">
        <is>
          <t>893793889</t>
        </is>
      </c>
    </row>
    <row r="518">
      <c r="A518" t="inlineStr">
        <is>
          <t>No</t>
        </is>
      </c>
      <c r="B518" t="inlineStr">
        <is>
          <t>CURAL</t>
        </is>
      </c>
      <c r="C518" t="inlineStr">
        <is>
          <t>SHELVES</t>
        </is>
      </c>
      <c r="D518" t="inlineStr">
        <is>
          <t>BL65.S4 L5</t>
        </is>
      </c>
      <c r="E518" t="inlineStr">
        <is>
          <t>0                      BL 0065000S  4                  L  5</t>
        </is>
      </c>
      <c r="F518" t="inlineStr">
        <is>
          <t>Love &amp; sexuality / by Odile M. Liebard. --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M518" t="inlineStr">
        <is>
          <t>Liebard, Odile M.</t>
        </is>
      </c>
      <c r="N518" t="inlineStr">
        <is>
          <t>Wilmington, N.C. : McGrath, 1978.</t>
        </is>
      </c>
      <c r="O518" t="inlineStr">
        <is>
          <t>1978</t>
        </is>
      </c>
      <c r="Q518" t="inlineStr">
        <is>
          <t>eng</t>
        </is>
      </c>
      <c r="R518" t="inlineStr">
        <is>
          <t xml:space="preserve">xx </t>
        </is>
      </c>
      <c r="S518" t="inlineStr">
        <is>
          <t>Official Catholic teachings</t>
        </is>
      </c>
      <c r="T518" t="inlineStr">
        <is>
          <t xml:space="preserve">BL </t>
        </is>
      </c>
      <c r="U518" t="n">
        <v>4</v>
      </c>
      <c r="V518" t="n">
        <v>4</v>
      </c>
      <c r="W518" t="inlineStr">
        <is>
          <t>2010-04-27</t>
        </is>
      </c>
      <c r="X518" t="inlineStr">
        <is>
          <t>2010-04-27</t>
        </is>
      </c>
      <c r="Y518" t="inlineStr">
        <is>
          <t>1990-04-10</t>
        </is>
      </c>
      <c r="Z518" t="inlineStr">
        <is>
          <t>1990-04-10</t>
        </is>
      </c>
      <c r="AA518" t="n">
        <v>32</v>
      </c>
      <c r="AB518" t="n">
        <v>30</v>
      </c>
      <c r="AC518" t="n">
        <v>394</v>
      </c>
      <c r="AD518" t="n">
        <v>1</v>
      </c>
      <c r="AE518" t="n">
        <v>3</v>
      </c>
      <c r="AF518" t="n">
        <v>1</v>
      </c>
      <c r="AG518" t="n">
        <v>33</v>
      </c>
      <c r="AH518" t="n">
        <v>0</v>
      </c>
      <c r="AI518" t="n">
        <v>13</v>
      </c>
      <c r="AJ518" t="n">
        <v>0</v>
      </c>
      <c r="AK518" t="n">
        <v>8</v>
      </c>
      <c r="AL518" t="n">
        <v>1</v>
      </c>
      <c r="AM518" t="n">
        <v>24</v>
      </c>
      <c r="AN518" t="n">
        <v>0</v>
      </c>
      <c r="AO518" t="n">
        <v>1</v>
      </c>
      <c r="AP518" t="n">
        <v>0</v>
      </c>
      <c r="AQ518" t="n">
        <v>0</v>
      </c>
      <c r="AR518" t="inlineStr">
        <is>
          <t>No</t>
        </is>
      </c>
      <c r="AS518" t="inlineStr">
        <is>
          <t>No</t>
        </is>
      </c>
      <c r="AU518">
        <f>HYPERLINK("https://creighton-primo.hosted.exlibrisgroup.com/primo-explore/search?tab=default_tab&amp;search_scope=EVERYTHING&amp;vid=01CRU&amp;lang=en_US&amp;offset=0&amp;query=any,contains,991004627209702656","Catalog Record")</f>
        <v/>
      </c>
      <c r="AV518">
        <f>HYPERLINK("http://www.worldcat.org/oclc/4348035","WorldCat Record")</f>
        <v/>
      </c>
      <c r="AW518" t="inlineStr">
        <is>
          <t>3943769401:eng</t>
        </is>
      </c>
      <c r="AX518" t="inlineStr">
        <is>
          <t>4348035</t>
        </is>
      </c>
      <c r="AY518" t="inlineStr">
        <is>
          <t>991004627209702656</t>
        </is>
      </c>
      <c r="AZ518" t="inlineStr">
        <is>
          <t>991004627209702656</t>
        </is>
      </c>
      <c r="BA518" t="inlineStr">
        <is>
          <t>2265668520002656</t>
        </is>
      </c>
      <c r="BB518" t="inlineStr">
        <is>
          <t>BOOK</t>
        </is>
      </c>
      <c r="BE518" t="inlineStr">
        <is>
          <t>32285000113109</t>
        </is>
      </c>
      <c r="BF518" t="inlineStr">
        <is>
          <t>893618882</t>
        </is>
      </c>
    </row>
    <row r="519">
      <c r="A519" t="inlineStr">
        <is>
          <t>No</t>
        </is>
      </c>
      <c r="B519" t="inlineStr">
        <is>
          <t>CURAL</t>
        </is>
      </c>
      <c r="C519" t="inlineStr">
        <is>
          <t>SHELVES</t>
        </is>
      </c>
      <c r="D519" t="inlineStr">
        <is>
          <t>BL65.S4 P3</t>
        </is>
      </c>
      <c r="E519" t="inlineStr">
        <is>
          <t>0                      BL 0065000S  4                  P  3</t>
        </is>
      </c>
      <c r="F519" t="inlineStr">
        <is>
          <t>Sex in the world's religions / Geoffrey Parrinder.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Parrinder, Geoffrey.</t>
        </is>
      </c>
      <c r="N519" t="inlineStr">
        <is>
          <t>New York : Oxford University Press, 1980.</t>
        </is>
      </c>
      <c r="O519" t="inlineStr">
        <is>
          <t>1980</t>
        </is>
      </c>
      <c r="Q519" t="inlineStr">
        <is>
          <t>eng</t>
        </is>
      </c>
      <c r="R519" t="inlineStr">
        <is>
          <t>nyu</t>
        </is>
      </c>
      <c r="T519" t="inlineStr">
        <is>
          <t xml:space="preserve">BL </t>
        </is>
      </c>
      <c r="U519" t="n">
        <v>6</v>
      </c>
      <c r="V519" t="n">
        <v>6</v>
      </c>
      <c r="W519" t="inlineStr">
        <is>
          <t>2002-09-08</t>
        </is>
      </c>
      <c r="X519" t="inlineStr">
        <is>
          <t>2002-09-08</t>
        </is>
      </c>
      <c r="Y519" t="inlineStr">
        <is>
          <t>1990-09-28</t>
        </is>
      </c>
      <c r="Z519" t="inlineStr">
        <is>
          <t>1990-09-28</t>
        </is>
      </c>
      <c r="AA519" t="n">
        <v>567</v>
      </c>
      <c r="AB519" t="n">
        <v>547</v>
      </c>
      <c r="AC519" t="n">
        <v>607</v>
      </c>
      <c r="AD519" t="n">
        <v>4</v>
      </c>
      <c r="AE519" t="n">
        <v>4</v>
      </c>
      <c r="AF519" t="n">
        <v>29</v>
      </c>
      <c r="AG519" t="n">
        <v>29</v>
      </c>
      <c r="AH519" t="n">
        <v>9</v>
      </c>
      <c r="AI519" t="n">
        <v>9</v>
      </c>
      <c r="AJ519" t="n">
        <v>7</v>
      </c>
      <c r="AK519" t="n">
        <v>7</v>
      </c>
      <c r="AL519" t="n">
        <v>16</v>
      </c>
      <c r="AM519" t="n">
        <v>16</v>
      </c>
      <c r="AN519" t="n">
        <v>3</v>
      </c>
      <c r="AO519" t="n">
        <v>3</v>
      </c>
      <c r="AP519" t="n">
        <v>0</v>
      </c>
      <c r="AQ519" t="n">
        <v>0</v>
      </c>
      <c r="AR519" t="inlineStr">
        <is>
          <t>No</t>
        </is>
      </c>
      <c r="AS519" t="inlineStr">
        <is>
          <t>Yes</t>
        </is>
      </c>
      <c r="AT519">
        <f>HYPERLINK("http://catalog.hathitrust.org/Record/000709821","HathiTrust Record")</f>
        <v/>
      </c>
      <c r="AU519">
        <f>HYPERLINK("https://creighton-primo.hosted.exlibrisgroup.com/primo-explore/search?tab=default_tab&amp;search_scope=EVERYTHING&amp;vid=01CRU&amp;lang=en_US&amp;offset=0&amp;query=any,contains,991004996219702656","Catalog Record")</f>
        <v/>
      </c>
      <c r="AV519">
        <f>HYPERLINK("http://www.worldcat.org/oclc/6518887","WorldCat Record")</f>
        <v/>
      </c>
      <c r="AW519" t="inlineStr">
        <is>
          <t>3857778122:eng</t>
        </is>
      </c>
      <c r="AX519" t="inlineStr">
        <is>
          <t>6518887</t>
        </is>
      </c>
      <c r="AY519" t="inlineStr">
        <is>
          <t>991004996219702656</t>
        </is>
      </c>
      <c r="AZ519" t="inlineStr">
        <is>
          <t>991004996219702656</t>
        </is>
      </c>
      <c r="BA519" t="inlineStr">
        <is>
          <t>2269859670002656</t>
        </is>
      </c>
      <c r="BB519" t="inlineStr">
        <is>
          <t>BOOK</t>
        </is>
      </c>
      <c r="BD519" t="inlineStr">
        <is>
          <t>9780195201932</t>
        </is>
      </c>
      <c r="BE519" t="inlineStr">
        <is>
          <t>32285000324169</t>
        </is>
      </c>
      <c r="BF519" t="inlineStr">
        <is>
          <t>893230089</t>
        </is>
      </c>
    </row>
    <row r="520">
      <c r="A520" t="inlineStr">
        <is>
          <t>No</t>
        </is>
      </c>
      <c r="B520" t="inlineStr">
        <is>
          <t>CURAL</t>
        </is>
      </c>
      <c r="C520" t="inlineStr">
        <is>
          <t>SHELVES</t>
        </is>
      </c>
      <c r="D520" t="inlineStr">
        <is>
          <t>BL65.S8 S6</t>
        </is>
      </c>
      <c r="E520" t="inlineStr">
        <is>
          <t>0                      BL 0065000S  8                  S  6</t>
        </is>
      </c>
      <c r="F520" t="inlineStr">
        <is>
          <t>South Asian politics and religion.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Smith, Donald Eugene, 1927-, editor.</t>
        </is>
      </c>
      <c r="N520" t="inlineStr">
        <is>
          <t>Princeton, N.J., Princeton University Press, 1966.</t>
        </is>
      </c>
      <c r="O520" t="inlineStr">
        <is>
          <t>1966</t>
        </is>
      </c>
      <c r="Q520" t="inlineStr">
        <is>
          <t>eng</t>
        </is>
      </c>
      <c r="R520" t="inlineStr">
        <is>
          <t>nju</t>
        </is>
      </c>
      <c r="T520" t="inlineStr">
        <is>
          <t xml:space="preserve">BL </t>
        </is>
      </c>
      <c r="U520" t="n">
        <v>4</v>
      </c>
      <c r="V520" t="n">
        <v>4</v>
      </c>
      <c r="W520" t="inlineStr">
        <is>
          <t>1995-09-28</t>
        </is>
      </c>
      <c r="X520" t="inlineStr">
        <is>
          <t>1995-09-28</t>
        </is>
      </c>
      <c r="Y520" t="inlineStr">
        <is>
          <t>1990-09-28</t>
        </is>
      </c>
      <c r="Z520" t="inlineStr">
        <is>
          <t>1990-09-28</t>
        </is>
      </c>
      <c r="AA520" t="n">
        <v>701</v>
      </c>
      <c r="AB520" t="n">
        <v>578</v>
      </c>
      <c r="AC520" t="n">
        <v>754</v>
      </c>
      <c r="AD520" t="n">
        <v>2</v>
      </c>
      <c r="AE520" t="n">
        <v>2</v>
      </c>
      <c r="AF520" t="n">
        <v>24</v>
      </c>
      <c r="AG520" t="n">
        <v>30</v>
      </c>
      <c r="AH520" t="n">
        <v>7</v>
      </c>
      <c r="AI520" t="n">
        <v>12</v>
      </c>
      <c r="AJ520" t="n">
        <v>6</v>
      </c>
      <c r="AK520" t="n">
        <v>8</v>
      </c>
      <c r="AL520" t="n">
        <v>13</v>
      </c>
      <c r="AM520" t="n">
        <v>15</v>
      </c>
      <c r="AN520" t="n">
        <v>1</v>
      </c>
      <c r="AO520" t="n">
        <v>1</v>
      </c>
      <c r="AP520" t="n">
        <v>0</v>
      </c>
      <c r="AQ520" t="n">
        <v>0</v>
      </c>
      <c r="AR520" t="inlineStr">
        <is>
          <t>No</t>
        </is>
      </c>
      <c r="AS520" t="inlineStr">
        <is>
          <t>Yes</t>
        </is>
      </c>
      <c r="AT520">
        <f>HYPERLINK("http://catalog.hathitrust.org/Record/001391609","HathiTrust Record")</f>
        <v/>
      </c>
      <c r="AU520">
        <f>HYPERLINK("https://creighton-primo.hosted.exlibrisgroup.com/primo-explore/search?tab=default_tab&amp;search_scope=EVERYTHING&amp;vid=01CRU&amp;lang=en_US&amp;offset=0&amp;query=any,contains,991002571719702656","Catalog Record")</f>
        <v/>
      </c>
      <c r="AV520">
        <f>HYPERLINK("http://www.worldcat.org/oclc/373859","WorldCat Record")</f>
        <v/>
      </c>
      <c r="AW520" t="inlineStr">
        <is>
          <t>308777235:eng</t>
        </is>
      </c>
      <c r="AX520" t="inlineStr">
        <is>
          <t>373859</t>
        </is>
      </c>
      <c r="AY520" t="inlineStr">
        <is>
          <t>991002571719702656</t>
        </is>
      </c>
      <c r="AZ520" t="inlineStr">
        <is>
          <t>991002571719702656</t>
        </is>
      </c>
      <c r="BA520" t="inlineStr">
        <is>
          <t>2261109740002656</t>
        </is>
      </c>
      <c r="BB520" t="inlineStr">
        <is>
          <t>BOOK</t>
        </is>
      </c>
      <c r="BE520" t="inlineStr">
        <is>
          <t>32285000324201</t>
        </is>
      </c>
      <c r="BF520" t="inlineStr">
        <is>
          <t>893716620</t>
        </is>
      </c>
    </row>
    <row r="521">
      <c r="A521" t="inlineStr">
        <is>
          <t>No</t>
        </is>
      </c>
      <c r="B521" t="inlineStr">
        <is>
          <t>CURAL</t>
        </is>
      </c>
      <c r="C521" t="inlineStr">
        <is>
          <t>SHELVES</t>
        </is>
      </c>
      <c r="D521" t="inlineStr">
        <is>
          <t>BL65.W2 A38</t>
        </is>
      </c>
      <c r="E521" t="inlineStr">
        <is>
          <t>0                      BL 0065000W  2                  A  38</t>
        </is>
      </c>
      <c r="F521" t="inlineStr">
        <is>
          <t>Religious mythology and the art of war : comparative religious symbolisms of military violence / James A. Aho.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No</t>
        </is>
      </c>
      <c r="L521" t="inlineStr">
        <is>
          <t>0</t>
        </is>
      </c>
      <c r="M521" t="inlineStr">
        <is>
          <t>Aho, James A., 1942-</t>
        </is>
      </c>
      <c r="N521" t="inlineStr">
        <is>
          <t>Westport, Conn. : Greenwood Press, 1981.</t>
        </is>
      </c>
      <c r="O521" t="inlineStr">
        <is>
          <t>1981</t>
        </is>
      </c>
      <c r="Q521" t="inlineStr">
        <is>
          <t>eng</t>
        </is>
      </c>
      <c r="R521" t="inlineStr">
        <is>
          <t>ctu</t>
        </is>
      </c>
      <c r="S521" t="inlineStr">
        <is>
          <t>Contributions to the study of religion, 0196-7053 ; no. 3</t>
        </is>
      </c>
      <c r="T521" t="inlineStr">
        <is>
          <t xml:space="preserve">BL </t>
        </is>
      </c>
      <c r="U521" t="n">
        <v>4</v>
      </c>
      <c r="V521" t="n">
        <v>4</v>
      </c>
      <c r="W521" t="inlineStr">
        <is>
          <t>2001-05-01</t>
        </is>
      </c>
      <c r="X521" t="inlineStr">
        <is>
          <t>2001-05-01</t>
        </is>
      </c>
      <c r="Y521" t="inlineStr">
        <is>
          <t>1990-09-28</t>
        </is>
      </c>
      <c r="Z521" t="inlineStr">
        <is>
          <t>1990-09-28</t>
        </is>
      </c>
      <c r="AA521" t="n">
        <v>441</v>
      </c>
      <c r="AB521" t="n">
        <v>384</v>
      </c>
      <c r="AC521" t="n">
        <v>386</v>
      </c>
      <c r="AD521" t="n">
        <v>2</v>
      </c>
      <c r="AE521" t="n">
        <v>2</v>
      </c>
      <c r="AF521" t="n">
        <v>17</v>
      </c>
      <c r="AG521" t="n">
        <v>17</v>
      </c>
      <c r="AH521" t="n">
        <v>5</v>
      </c>
      <c r="AI521" t="n">
        <v>5</v>
      </c>
      <c r="AJ521" t="n">
        <v>4</v>
      </c>
      <c r="AK521" t="n">
        <v>4</v>
      </c>
      <c r="AL521" t="n">
        <v>12</v>
      </c>
      <c r="AM521" t="n">
        <v>12</v>
      </c>
      <c r="AN521" t="n">
        <v>1</v>
      </c>
      <c r="AO521" t="n">
        <v>1</v>
      </c>
      <c r="AP521" t="n">
        <v>0</v>
      </c>
      <c r="AQ521" t="n">
        <v>0</v>
      </c>
      <c r="AR521" t="inlineStr">
        <is>
          <t>No</t>
        </is>
      </c>
      <c r="AS521" t="inlineStr">
        <is>
          <t>Yes</t>
        </is>
      </c>
      <c r="AT521">
        <f>HYPERLINK("http://catalog.hathitrust.org/Record/000144636","HathiTrust Record")</f>
        <v/>
      </c>
      <c r="AU521">
        <f>HYPERLINK("https://creighton-primo.hosted.exlibrisgroup.com/primo-explore/search?tab=default_tab&amp;search_scope=EVERYTHING&amp;vid=01CRU&amp;lang=en_US&amp;offset=0&amp;query=any,contains,991005032309702656","Catalog Record")</f>
        <v/>
      </c>
      <c r="AV521">
        <f>HYPERLINK("http://www.worldcat.org/oclc/6734327","WorldCat Record")</f>
        <v/>
      </c>
      <c r="AW521" t="inlineStr">
        <is>
          <t>446466:eng</t>
        </is>
      </c>
      <c r="AX521" t="inlineStr">
        <is>
          <t>6734327</t>
        </is>
      </c>
      <c r="AY521" t="inlineStr">
        <is>
          <t>991005032309702656</t>
        </is>
      </c>
      <c r="AZ521" t="inlineStr">
        <is>
          <t>991005032309702656</t>
        </is>
      </c>
      <c r="BA521" t="inlineStr">
        <is>
          <t>2268518030002656</t>
        </is>
      </c>
      <c r="BB521" t="inlineStr">
        <is>
          <t>BOOK</t>
        </is>
      </c>
      <c r="BD521" t="inlineStr">
        <is>
          <t>9780313225642</t>
        </is>
      </c>
      <c r="BE521" t="inlineStr">
        <is>
          <t>32285000324235</t>
        </is>
      </c>
      <c r="BF521" t="inlineStr">
        <is>
          <t>893254350</t>
        </is>
      </c>
    </row>
    <row r="522">
      <c r="A522" t="inlineStr">
        <is>
          <t>No</t>
        </is>
      </c>
      <c r="B522" t="inlineStr">
        <is>
          <t>CURAL</t>
        </is>
      </c>
      <c r="C522" t="inlineStr">
        <is>
          <t>SHELVES</t>
        </is>
      </c>
      <c r="D522" t="inlineStr">
        <is>
          <t>BL65.W2 F47 1978</t>
        </is>
      </c>
      <c r="E522" t="inlineStr">
        <is>
          <t>0                      BL 0065000W  2                  F  47          1978</t>
        </is>
      </c>
      <c r="F522" t="inlineStr">
        <is>
          <t>War and peace in the world's religions / by John Ferguson.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No</t>
        </is>
      </c>
      <c r="L522" t="inlineStr">
        <is>
          <t>0</t>
        </is>
      </c>
      <c r="M522" t="inlineStr">
        <is>
          <t>Ferguson, John, 1921-1989.</t>
        </is>
      </c>
      <c r="N522" t="inlineStr">
        <is>
          <t>New York : Oxford University Press, 1978, c1977.</t>
        </is>
      </c>
      <c r="O522" t="inlineStr">
        <is>
          <t>1978</t>
        </is>
      </c>
      <c r="Q522" t="inlineStr">
        <is>
          <t>eng</t>
        </is>
      </c>
      <c r="R522" t="inlineStr">
        <is>
          <t>nyu</t>
        </is>
      </c>
      <c r="T522" t="inlineStr">
        <is>
          <t xml:space="preserve">BL </t>
        </is>
      </c>
      <c r="U522" t="n">
        <v>4</v>
      </c>
      <c r="V522" t="n">
        <v>4</v>
      </c>
      <c r="W522" t="inlineStr">
        <is>
          <t>2001-05-01</t>
        </is>
      </c>
      <c r="X522" t="inlineStr">
        <is>
          <t>2001-05-01</t>
        </is>
      </c>
      <c r="Y522" t="inlineStr">
        <is>
          <t>1990-09-28</t>
        </is>
      </c>
      <c r="Z522" t="inlineStr">
        <is>
          <t>1990-09-28</t>
        </is>
      </c>
      <c r="AA522" t="n">
        <v>607</v>
      </c>
      <c r="AB522" t="n">
        <v>583</v>
      </c>
      <c r="AC522" t="n">
        <v>664</v>
      </c>
      <c r="AD522" t="n">
        <v>3</v>
      </c>
      <c r="AE522" t="n">
        <v>5</v>
      </c>
      <c r="AF522" t="n">
        <v>28</v>
      </c>
      <c r="AG522" t="n">
        <v>34</v>
      </c>
      <c r="AH522" t="n">
        <v>12</v>
      </c>
      <c r="AI522" t="n">
        <v>13</v>
      </c>
      <c r="AJ522" t="n">
        <v>7</v>
      </c>
      <c r="AK522" t="n">
        <v>7</v>
      </c>
      <c r="AL522" t="n">
        <v>17</v>
      </c>
      <c r="AM522" t="n">
        <v>20</v>
      </c>
      <c r="AN522" t="n">
        <v>2</v>
      </c>
      <c r="AO522" t="n">
        <v>4</v>
      </c>
      <c r="AP522" t="n">
        <v>0</v>
      </c>
      <c r="AQ522" t="n">
        <v>0</v>
      </c>
      <c r="AR522" t="inlineStr">
        <is>
          <t>No</t>
        </is>
      </c>
      <c r="AS522" t="inlineStr">
        <is>
          <t>Yes</t>
        </is>
      </c>
      <c r="AT522">
        <f>HYPERLINK("http://catalog.hathitrust.org/Record/000176640","HathiTrust Record")</f>
        <v/>
      </c>
      <c r="AU522">
        <f>HYPERLINK("https://creighton-primo.hosted.exlibrisgroup.com/primo-explore/search?tab=default_tab&amp;search_scope=EVERYTHING&amp;vid=01CRU&amp;lang=en_US&amp;offset=0&amp;query=any,contains,991004565029702656","Catalog Record")</f>
        <v/>
      </c>
      <c r="AV522">
        <f>HYPERLINK("http://www.worldcat.org/oclc/4004292","WorldCat Record")</f>
        <v/>
      </c>
      <c r="AW522" t="inlineStr">
        <is>
          <t>148922793:eng</t>
        </is>
      </c>
      <c r="AX522" t="inlineStr">
        <is>
          <t>4004292</t>
        </is>
      </c>
      <c r="AY522" t="inlineStr">
        <is>
          <t>991004565029702656</t>
        </is>
      </c>
      <c r="AZ522" t="inlineStr">
        <is>
          <t>991004565029702656</t>
        </is>
      </c>
      <c r="BA522" t="inlineStr">
        <is>
          <t>2264881330002656</t>
        </is>
      </c>
      <c r="BB522" t="inlineStr">
        <is>
          <t>BOOK</t>
        </is>
      </c>
      <c r="BD522" t="inlineStr">
        <is>
          <t>9780195200737</t>
        </is>
      </c>
      <c r="BE522" t="inlineStr">
        <is>
          <t>32285000324243</t>
        </is>
      </c>
      <c r="BF522" t="inlineStr">
        <is>
          <t>893241597</t>
        </is>
      </c>
    </row>
    <row r="523">
      <c r="A523" t="inlineStr">
        <is>
          <t>No</t>
        </is>
      </c>
      <c r="B523" t="inlineStr">
        <is>
          <t>CURAL</t>
        </is>
      </c>
      <c r="C523" t="inlineStr">
        <is>
          <t>SHELVES</t>
        </is>
      </c>
      <c r="D523" t="inlineStr">
        <is>
          <t>BL660 .D793513 1983</t>
        </is>
      </c>
      <c r="E523" t="inlineStr">
        <is>
          <t>0                      BL 0660000D  793513      1983</t>
        </is>
      </c>
      <c r="F523" t="inlineStr">
        <is>
          <t>The stakes of the warrior / Georges Dumézil ; translated by David Weeks ; edited, with an introduction, by Jaan Puhvel.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Dumézil, Georges, 1898-1986.</t>
        </is>
      </c>
      <c r="N523" t="inlineStr">
        <is>
          <t>Berkeley : University of California Press, c1983.</t>
        </is>
      </c>
      <c r="O523" t="inlineStr">
        <is>
          <t>1983</t>
        </is>
      </c>
      <c r="Q523" t="inlineStr">
        <is>
          <t>eng</t>
        </is>
      </c>
      <c r="R523" t="inlineStr">
        <is>
          <t>cau</t>
        </is>
      </c>
      <c r="T523" t="inlineStr">
        <is>
          <t xml:space="preserve">BL </t>
        </is>
      </c>
      <c r="U523" t="n">
        <v>2</v>
      </c>
      <c r="V523" t="n">
        <v>2</v>
      </c>
      <c r="W523" t="inlineStr">
        <is>
          <t>2000-03-04</t>
        </is>
      </c>
      <c r="X523" t="inlineStr">
        <is>
          <t>2000-03-04</t>
        </is>
      </c>
      <c r="Y523" t="inlineStr">
        <is>
          <t>1990-10-12</t>
        </is>
      </c>
      <c r="Z523" t="inlineStr">
        <is>
          <t>1990-10-12</t>
        </is>
      </c>
      <c r="AA523" t="n">
        <v>400</v>
      </c>
      <c r="AB523" t="n">
        <v>327</v>
      </c>
      <c r="AC523" t="n">
        <v>327</v>
      </c>
      <c r="AD523" t="n">
        <v>3</v>
      </c>
      <c r="AE523" t="n">
        <v>3</v>
      </c>
      <c r="AF523" t="n">
        <v>20</v>
      </c>
      <c r="AG523" t="n">
        <v>20</v>
      </c>
      <c r="AH523" t="n">
        <v>5</v>
      </c>
      <c r="AI523" t="n">
        <v>5</v>
      </c>
      <c r="AJ523" t="n">
        <v>5</v>
      </c>
      <c r="AK523" t="n">
        <v>5</v>
      </c>
      <c r="AL523" t="n">
        <v>12</v>
      </c>
      <c r="AM523" t="n">
        <v>12</v>
      </c>
      <c r="AN523" t="n">
        <v>2</v>
      </c>
      <c r="AO523" t="n">
        <v>2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U523">
        <f>HYPERLINK("https://creighton-primo.hosted.exlibrisgroup.com/primo-explore/search?tab=default_tab&amp;search_scope=EVERYTHING&amp;vid=01CRU&amp;lang=en_US&amp;offset=0&amp;query=any,contains,991000047799702656","Catalog Record")</f>
        <v/>
      </c>
      <c r="AV523">
        <f>HYPERLINK("http://www.worldcat.org/oclc/8670163","WorldCat Record")</f>
        <v/>
      </c>
      <c r="AW523" t="inlineStr">
        <is>
          <t>49112438:eng</t>
        </is>
      </c>
      <c r="AX523" t="inlineStr">
        <is>
          <t>8670163</t>
        </is>
      </c>
      <c r="AY523" t="inlineStr">
        <is>
          <t>991000047799702656</t>
        </is>
      </c>
      <c r="AZ523" t="inlineStr">
        <is>
          <t>991000047799702656</t>
        </is>
      </c>
      <c r="BA523" t="inlineStr">
        <is>
          <t>2267484920002656</t>
        </is>
      </c>
      <c r="BB523" t="inlineStr">
        <is>
          <t>BOOK</t>
        </is>
      </c>
      <c r="BD523" t="inlineStr">
        <is>
          <t>9780520048348</t>
        </is>
      </c>
      <c r="BE523" t="inlineStr">
        <is>
          <t>32285000346899</t>
        </is>
      </c>
      <c r="BF523" t="inlineStr">
        <is>
          <t>893865030</t>
        </is>
      </c>
    </row>
    <row r="524">
      <c r="A524" t="inlineStr">
        <is>
          <t>No</t>
        </is>
      </c>
      <c r="B524" t="inlineStr">
        <is>
          <t>CURAL</t>
        </is>
      </c>
      <c r="C524" t="inlineStr">
        <is>
          <t>SHELVES</t>
        </is>
      </c>
      <c r="D524" t="inlineStr">
        <is>
          <t>BL660 .D79413</t>
        </is>
      </c>
      <c r="E524" t="inlineStr">
        <is>
          <t>0                      BL 0660000D  79413</t>
        </is>
      </c>
      <c r="F524" t="inlineStr">
        <is>
          <t>The destiny of the warrior. Translated by Alf Hiltebeitel.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Dumézil, Georges, 1898-1986.</t>
        </is>
      </c>
      <c r="N524" t="inlineStr">
        <is>
          <t>Chicago, University of Chicago Press [1970]</t>
        </is>
      </c>
      <c r="O524" t="inlineStr">
        <is>
          <t>1970</t>
        </is>
      </c>
      <c r="Q524" t="inlineStr">
        <is>
          <t>eng</t>
        </is>
      </c>
      <c r="R524" t="inlineStr">
        <is>
          <t>ilu</t>
        </is>
      </c>
      <c r="T524" t="inlineStr">
        <is>
          <t xml:space="preserve">BL </t>
        </is>
      </c>
      <c r="U524" t="n">
        <v>3</v>
      </c>
      <c r="V524" t="n">
        <v>3</v>
      </c>
      <c r="W524" t="inlineStr">
        <is>
          <t>2000-03-04</t>
        </is>
      </c>
      <c r="X524" t="inlineStr">
        <is>
          <t>2000-03-04</t>
        </is>
      </c>
      <c r="Y524" t="inlineStr">
        <is>
          <t>1990-10-12</t>
        </is>
      </c>
      <c r="Z524" t="inlineStr">
        <is>
          <t>1990-10-12</t>
        </is>
      </c>
      <c r="AA524" t="n">
        <v>623</v>
      </c>
      <c r="AB524" t="n">
        <v>538</v>
      </c>
      <c r="AC524" t="n">
        <v>543</v>
      </c>
      <c r="AD524" t="n">
        <v>6</v>
      </c>
      <c r="AE524" t="n">
        <v>6</v>
      </c>
      <c r="AF524" t="n">
        <v>31</v>
      </c>
      <c r="AG524" t="n">
        <v>31</v>
      </c>
      <c r="AH524" t="n">
        <v>10</v>
      </c>
      <c r="AI524" t="n">
        <v>10</v>
      </c>
      <c r="AJ524" t="n">
        <v>8</v>
      </c>
      <c r="AK524" t="n">
        <v>8</v>
      </c>
      <c r="AL524" t="n">
        <v>16</v>
      </c>
      <c r="AM524" t="n">
        <v>16</v>
      </c>
      <c r="AN524" t="n">
        <v>5</v>
      </c>
      <c r="AO524" t="n">
        <v>5</v>
      </c>
      <c r="AP524" t="n">
        <v>0</v>
      </c>
      <c r="AQ524" t="n">
        <v>0</v>
      </c>
      <c r="AR524" t="inlineStr">
        <is>
          <t>No</t>
        </is>
      </c>
      <c r="AS524" t="inlineStr">
        <is>
          <t>No</t>
        </is>
      </c>
      <c r="AU524">
        <f>HYPERLINK("https://creighton-primo.hosted.exlibrisgroup.com/primo-explore/search?tab=default_tab&amp;search_scope=EVERYTHING&amp;vid=01CRU&amp;lang=en_US&amp;offset=0&amp;query=any,contains,991001946289702656","Catalog Record")</f>
        <v/>
      </c>
      <c r="AV524">
        <f>HYPERLINK("http://www.worldcat.org/oclc/250929","WorldCat Record")</f>
        <v/>
      </c>
      <c r="AW524" t="inlineStr">
        <is>
          <t>140216355:eng</t>
        </is>
      </c>
      <c r="AX524" t="inlineStr">
        <is>
          <t>250929</t>
        </is>
      </c>
      <c r="AY524" t="inlineStr">
        <is>
          <t>991001946289702656</t>
        </is>
      </c>
      <c r="AZ524" t="inlineStr">
        <is>
          <t>991001946289702656</t>
        </is>
      </c>
      <c r="BA524" t="inlineStr">
        <is>
          <t>2268316400002656</t>
        </is>
      </c>
      <c r="BB524" t="inlineStr">
        <is>
          <t>BOOK</t>
        </is>
      </c>
      <c r="BD524" t="inlineStr">
        <is>
          <t>9780226169705</t>
        </is>
      </c>
      <c r="BE524" t="inlineStr">
        <is>
          <t>32285000346907</t>
        </is>
      </c>
      <c r="BF524" t="inlineStr">
        <is>
          <t>893797976</t>
        </is>
      </c>
    </row>
    <row r="525">
      <c r="A525" t="inlineStr">
        <is>
          <t>No</t>
        </is>
      </c>
      <c r="B525" t="inlineStr">
        <is>
          <t>CURAL</t>
        </is>
      </c>
      <c r="C525" t="inlineStr">
        <is>
          <t>SHELVES</t>
        </is>
      </c>
      <c r="D525" t="inlineStr">
        <is>
          <t>BL660 .M9</t>
        </is>
      </c>
      <c r="E525" t="inlineStr">
        <is>
          <t>0                      BL 0660000M  9</t>
        </is>
      </c>
      <c r="F525" t="inlineStr">
        <is>
          <t>Myth and law among the Indo-Europeans; studies in Indo-European comparative mythology. Edited by Jaan Puhvel.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N525" t="inlineStr">
        <is>
          <t>Berkeley, University of California Press, 1970.</t>
        </is>
      </c>
      <c r="O525" t="inlineStr">
        <is>
          <t>1970</t>
        </is>
      </c>
      <c r="Q525" t="inlineStr">
        <is>
          <t>eng</t>
        </is>
      </c>
      <c r="R525" t="inlineStr">
        <is>
          <t>cau</t>
        </is>
      </c>
      <c r="S525" t="inlineStr">
        <is>
          <t>Publications of the UCLA Center for the Study of Comparative Folklore and Mythology ; 1</t>
        </is>
      </c>
      <c r="T525" t="inlineStr">
        <is>
          <t xml:space="preserve">BL </t>
        </is>
      </c>
      <c r="U525" t="n">
        <v>3</v>
      </c>
      <c r="V525" t="n">
        <v>3</v>
      </c>
      <c r="W525" t="inlineStr">
        <is>
          <t>2002-12-16</t>
        </is>
      </c>
      <c r="X525" t="inlineStr">
        <is>
          <t>2002-12-16</t>
        </is>
      </c>
      <c r="Y525" t="inlineStr">
        <is>
          <t>1990-10-12</t>
        </is>
      </c>
      <c r="Z525" t="inlineStr">
        <is>
          <t>1990-10-12</t>
        </is>
      </c>
      <c r="AA525" t="n">
        <v>580</v>
      </c>
      <c r="AB525" t="n">
        <v>468</v>
      </c>
      <c r="AC525" t="n">
        <v>470</v>
      </c>
      <c r="AD525" t="n">
        <v>2</v>
      </c>
      <c r="AE525" t="n">
        <v>2</v>
      </c>
      <c r="AF525" t="n">
        <v>21</v>
      </c>
      <c r="AG525" t="n">
        <v>21</v>
      </c>
      <c r="AH525" t="n">
        <v>4</v>
      </c>
      <c r="AI525" t="n">
        <v>4</v>
      </c>
      <c r="AJ525" t="n">
        <v>4</v>
      </c>
      <c r="AK525" t="n">
        <v>4</v>
      </c>
      <c r="AL525" t="n">
        <v>12</v>
      </c>
      <c r="AM525" t="n">
        <v>12</v>
      </c>
      <c r="AN525" t="n">
        <v>1</v>
      </c>
      <c r="AO525" t="n">
        <v>1</v>
      </c>
      <c r="AP525" t="n">
        <v>4</v>
      </c>
      <c r="AQ525" t="n">
        <v>4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HYPERLINK("http://catalog.hathitrust.org/Record/001392409","HathiTrust Record")</f>
        <v/>
      </c>
      <c r="AU525">
        <f>HYPERLINK("https://creighton-primo.hosted.exlibrisgroup.com/primo-explore/search?tab=default_tab&amp;search_scope=EVERYTHING&amp;vid=01CRU&amp;lang=en_US&amp;offset=0&amp;query=any,contains,991000740969702656","Catalog Record")</f>
        <v/>
      </c>
      <c r="AV525">
        <f>HYPERLINK("http://www.worldcat.org/oclc/129371","WorldCat Record")</f>
        <v/>
      </c>
      <c r="AW525" t="inlineStr">
        <is>
          <t>864937545:eng</t>
        </is>
      </c>
      <c r="AX525" t="inlineStr">
        <is>
          <t>129371</t>
        </is>
      </c>
      <c r="AY525" t="inlineStr">
        <is>
          <t>991000740969702656</t>
        </is>
      </c>
      <c r="AZ525" t="inlineStr">
        <is>
          <t>991000740969702656</t>
        </is>
      </c>
      <c r="BA525" t="inlineStr">
        <is>
          <t>2266671770002656</t>
        </is>
      </c>
      <c r="BB525" t="inlineStr">
        <is>
          <t>BOOK</t>
        </is>
      </c>
      <c r="BD525" t="inlineStr">
        <is>
          <t>9780520015876</t>
        </is>
      </c>
      <c r="BE525" t="inlineStr">
        <is>
          <t>32285000346915</t>
        </is>
      </c>
      <c r="BF525" t="inlineStr">
        <is>
          <t>893243534</t>
        </is>
      </c>
    </row>
    <row r="526">
      <c r="A526" t="inlineStr">
        <is>
          <t>No</t>
        </is>
      </c>
      <c r="B526" t="inlineStr">
        <is>
          <t>CURAL</t>
        </is>
      </c>
      <c r="C526" t="inlineStr">
        <is>
          <t>SHELVES</t>
        </is>
      </c>
      <c r="D526" t="inlineStr">
        <is>
          <t>BL660 .M93</t>
        </is>
      </c>
      <c r="E526" t="inlineStr">
        <is>
          <t>0                      BL 0660000M  93</t>
        </is>
      </c>
      <c r="F526" t="inlineStr">
        <is>
          <t>Myth in Indo-European antiquity. Edited by Gerald James Larson. Co-edited by C. Scott Littleton and Jaan Puhvel.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Berkeley, University of California Press, 1974.</t>
        </is>
      </c>
      <c r="O526" t="inlineStr">
        <is>
          <t>1974</t>
        </is>
      </c>
      <c r="Q526" t="inlineStr">
        <is>
          <t>eng</t>
        </is>
      </c>
      <c r="R526" t="inlineStr">
        <is>
          <t>cau</t>
        </is>
      </c>
      <c r="S526" t="inlineStr">
        <is>
          <t>Publications of the UCSB Institute of Religious Studies</t>
        </is>
      </c>
      <c r="T526" t="inlineStr">
        <is>
          <t xml:space="preserve">BL </t>
        </is>
      </c>
      <c r="U526" t="n">
        <v>3</v>
      </c>
      <c r="V526" t="n">
        <v>3</v>
      </c>
      <c r="W526" t="inlineStr">
        <is>
          <t>2008-12-15</t>
        </is>
      </c>
      <c r="X526" t="inlineStr">
        <is>
          <t>2008-12-15</t>
        </is>
      </c>
      <c r="Y526" t="inlineStr">
        <is>
          <t>1990-10-12</t>
        </is>
      </c>
      <c r="Z526" t="inlineStr">
        <is>
          <t>1990-10-12</t>
        </is>
      </c>
      <c r="AA526" t="n">
        <v>621</v>
      </c>
      <c r="AB526" t="n">
        <v>511</v>
      </c>
      <c r="AC526" t="n">
        <v>533</v>
      </c>
      <c r="AD526" t="n">
        <v>4</v>
      </c>
      <c r="AE526" t="n">
        <v>4</v>
      </c>
      <c r="AF526" t="n">
        <v>23</v>
      </c>
      <c r="AG526" t="n">
        <v>23</v>
      </c>
      <c r="AH526" t="n">
        <v>7</v>
      </c>
      <c r="AI526" t="n">
        <v>7</v>
      </c>
      <c r="AJ526" t="n">
        <v>6</v>
      </c>
      <c r="AK526" t="n">
        <v>6</v>
      </c>
      <c r="AL526" t="n">
        <v>12</v>
      </c>
      <c r="AM526" t="n">
        <v>12</v>
      </c>
      <c r="AN526" t="n">
        <v>3</v>
      </c>
      <c r="AO526" t="n">
        <v>3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T526">
        <f>HYPERLINK("http://catalog.hathitrust.org/Record/007849553","HathiTrust Record")</f>
        <v/>
      </c>
      <c r="AU526">
        <f>HYPERLINK("https://creighton-primo.hosted.exlibrisgroup.com/primo-explore/search?tab=default_tab&amp;search_scope=EVERYTHING&amp;vid=01CRU&amp;lang=en_US&amp;offset=0&amp;query=any,contains,991003366389702656","Catalog Record")</f>
        <v/>
      </c>
      <c r="AV526">
        <f>HYPERLINK("http://www.worldcat.org/oclc/902319","WorldCat Record")</f>
        <v/>
      </c>
      <c r="AW526" t="inlineStr">
        <is>
          <t>350365023:eng</t>
        </is>
      </c>
      <c r="AX526" t="inlineStr">
        <is>
          <t>902319</t>
        </is>
      </c>
      <c r="AY526" t="inlineStr">
        <is>
          <t>991003366389702656</t>
        </is>
      </c>
      <c r="AZ526" t="inlineStr">
        <is>
          <t>991003366389702656</t>
        </is>
      </c>
      <c r="BA526" t="inlineStr">
        <is>
          <t>2262567530002656</t>
        </is>
      </c>
      <c r="BB526" t="inlineStr">
        <is>
          <t>BOOK</t>
        </is>
      </c>
      <c r="BD526" t="inlineStr">
        <is>
          <t>9780520023789</t>
        </is>
      </c>
      <c r="BE526" t="inlineStr">
        <is>
          <t>32285000346923</t>
        </is>
      </c>
      <c r="BF526" t="inlineStr">
        <is>
          <t>893324031</t>
        </is>
      </c>
    </row>
    <row r="527">
      <c r="A527" t="inlineStr">
        <is>
          <t>No</t>
        </is>
      </c>
      <c r="B527" t="inlineStr">
        <is>
          <t>CURAL</t>
        </is>
      </c>
      <c r="C527" t="inlineStr">
        <is>
          <t>SHELVES</t>
        </is>
      </c>
      <c r="D527" t="inlineStr">
        <is>
          <t>BL687 .C55 1986</t>
        </is>
      </c>
      <c r="E527" t="inlineStr">
        <is>
          <t>0                      BL 0687000C  55          1986</t>
        </is>
      </c>
      <c r="F527" t="inlineStr">
        <is>
          <t>Classical Mediterranean spirituality : Egyptian, Greek, Roman / edited by A.H. Armstrong.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N527" t="inlineStr">
        <is>
          <t>New York : Crossroad, 1986.</t>
        </is>
      </c>
      <c r="O527" t="inlineStr">
        <is>
          <t>1986</t>
        </is>
      </c>
      <c r="Q527" t="inlineStr">
        <is>
          <t>eng</t>
        </is>
      </c>
      <c r="R527" t="inlineStr">
        <is>
          <t>nyu</t>
        </is>
      </c>
      <c r="S527" t="inlineStr">
        <is>
          <t>World spirituality ; v. 15</t>
        </is>
      </c>
      <c r="T527" t="inlineStr">
        <is>
          <t xml:space="preserve">BL </t>
        </is>
      </c>
      <c r="U527" t="n">
        <v>2</v>
      </c>
      <c r="V527" t="n">
        <v>2</v>
      </c>
      <c r="W527" t="inlineStr">
        <is>
          <t>1996-07-15</t>
        </is>
      </c>
      <c r="X527" t="inlineStr">
        <is>
          <t>1996-07-15</t>
        </is>
      </c>
      <c r="Y527" t="inlineStr">
        <is>
          <t>1990-10-12</t>
        </is>
      </c>
      <c r="Z527" t="inlineStr">
        <is>
          <t>1990-10-12</t>
        </is>
      </c>
      <c r="AA527" t="n">
        <v>670</v>
      </c>
      <c r="AB527" t="n">
        <v>569</v>
      </c>
      <c r="AC527" t="n">
        <v>586</v>
      </c>
      <c r="AD527" t="n">
        <v>5</v>
      </c>
      <c r="AE527" t="n">
        <v>5</v>
      </c>
      <c r="AF527" t="n">
        <v>33</v>
      </c>
      <c r="AG527" t="n">
        <v>34</v>
      </c>
      <c r="AH527" t="n">
        <v>12</v>
      </c>
      <c r="AI527" t="n">
        <v>13</v>
      </c>
      <c r="AJ527" t="n">
        <v>7</v>
      </c>
      <c r="AK527" t="n">
        <v>7</v>
      </c>
      <c r="AL527" t="n">
        <v>19</v>
      </c>
      <c r="AM527" t="n">
        <v>20</v>
      </c>
      <c r="AN527" t="n">
        <v>3</v>
      </c>
      <c r="AO527" t="n">
        <v>3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HYPERLINK("http://catalog.hathitrust.org/Record/000830055","HathiTrust Record")</f>
        <v/>
      </c>
      <c r="AU527">
        <f>HYPERLINK("https://creighton-primo.hosted.exlibrisgroup.com/primo-explore/search?tab=default_tab&amp;search_scope=EVERYTHING&amp;vid=01CRU&amp;lang=en_US&amp;offset=0&amp;query=any,contains,991000828819702656","Catalog Record")</f>
        <v/>
      </c>
      <c r="AV527">
        <f>HYPERLINK("http://www.worldcat.org/oclc/13426409","WorldCat Record")</f>
        <v/>
      </c>
      <c r="AW527" t="inlineStr">
        <is>
          <t>54806784:eng</t>
        </is>
      </c>
      <c r="AX527" t="inlineStr">
        <is>
          <t>13426409</t>
        </is>
      </c>
      <c r="AY527" t="inlineStr">
        <is>
          <t>991000828819702656</t>
        </is>
      </c>
      <c r="AZ527" t="inlineStr">
        <is>
          <t>991000828819702656</t>
        </is>
      </c>
      <c r="BA527" t="inlineStr">
        <is>
          <t>2264651770002656</t>
        </is>
      </c>
      <c r="BB527" t="inlineStr">
        <is>
          <t>BOOK</t>
        </is>
      </c>
      <c r="BD527" t="inlineStr">
        <is>
          <t>9780824507640</t>
        </is>
      </c>
      <c r="BE527" t="inlineStr">
        <is>
          <t>32285000346931</t>
        </is>
      </c>
      <c r="BF527" t="inlineStr">
        <is>
          <t>893327631</t>
        </is>
      </c>
    </row>
    <row r="528">
      <c r="A528" t="inlineStr">
        <is>
          <t>No</t>
        </is>
      </c>
      <c r="B528" t="inlineStr">
        <is>
          <t>CURAL</t>
        </is>
      </c>
      <c r="C528" t="inlineStr">
        <is>
          <t>SHELVES</t>
        </is>
      </c>
      <c r="D528" t="inlineStr">
        <is>
          <t>BL687 .R45 1987</t>
        </is>
      </c>
      <c r="E528" t="inlineStr">
        <is>
          <t>0                      BL 0687000R  45          1987</t>
        </is>
      </c>
      <c r="F528" t="inlineStr">
        <is>
          <t>Readings in Western religious thought : the ancient world / edited by Patrick V. Reid.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Reid, Patrick, 1944-</t>
        </is>
      </c>
      <c r="N528" t="inlineStr">
        <is>
          <t>New York : Paulist Press, c1987.</t>
        </is>
      </c>
      <c r="O528" t="inlineStr">
        <is>
          <t>1986</t>
        </is>
      </c>
      <c r="Q528" t="inlineStr">
        <is>
          <t>eng</t>
        </is>
      </c>
      <c r="R528" t="inlineStr">
        <is>
          <t>nyu</t>
        </is>
      </c>
      <c r="T528" t="inlineStr">
        <is>
          <t xml:space="preserve">BL </t>
        </is>
      </c>
      <c r="U528" t="n">
        <v>3</v>
      </c>
      <c r="V528" t="n">
        <v>3</v>
      </c>
      <c r="W528" t="inlineStr">
        <is>
          <t>2003-11-14</t>
        </is>
      </c>
      <c r="X528" t="inlineStr">
        <is>
          <t>2003-11-14</t>
        </is>
      </c>
      <c r="Y528" t="inlineStr">
        <is>
          <t>1990-10-12</t>
        </is>
      </c>
      <c r="Z528" t="inlineStr">
        <is>
          <t>1990-10-12</t>
        </is>
      </c>
      <c r="AA528" t="n">
        <v>247</v>
      </c>
      <c r="AB528" t="n">
        <v>207</v>
      </c>
      <c r="AC528" t="n">
        <v>227</v>
      </c>
      <c r="AD528" t="n">
        <v>1</v>
      </c>
      <c r="AE528" t="n">
        <v>1</v>
      </c>
      <c r="AF528" t="n">
        <v>14</v>
      </c>
      <c r="AG528" t="n">
        <v>17</v>
      </c>
      <c r="AH528" t="n">
        <v>4</v>
      </c>
      <c r="AI528" t="n">
        <v>5</v>
      </c>
      <c r="AJ528" t="n">
        <v>2</v>
      </c>
      <c r="AK528" t="n">
        <v>3</v>
      </c>
      <c r="AL528" t="n">
        <v>10</v>
      </c>
      <c r="AM528" t="n">
        <v>12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No</t>
        </is>
      </c>
      <c r="AU528">
        <f>HYPERLINK("https://creighton-primo.hosted.exlibrisgroup.com/primo-explore/search?tab=default_tab&amp;search_scope=EVERYTHING&amp;vid=01CRU&amp;lang=en_US&amp;offset=0&amp;query=any,contains,991000926419702656","Catalog Record")</f>
        <v/>
      </c>
      <c r="AV528">
        <f>HYPERLINK("http://www.worldcat.org/oclc/14240500","WorldCat Record")</f>
        <v/>
      </c>
      <c r="AW528" t="inlineStr">
        <is>
          <t>2869324039:eng</t>
        </is>
      </c>
      <c r="AX528" t="inlineStr">
        <is>
          <t>14240500</t>
        </is>
      </c>
      <c r="AY528" t="inlineStr">
        <is>
          <t>991000926419702656</t>
        </is>
      </c>
      <c r="AZ528" t="inlineStr">
        <is>
          <t>991000926419702656</t>
        </is>
      </c>
      <c r="BA528" t="inlineStr">
        <is>
          <t>2258882530002656</t>
        </is>
      </c>
      <c r="BB528" t="inlineStr">
        <is>
          <t>BOOK</t>
        </is>
      </c>
      <c r="BD528" t="inlineStr">
        <is>
          <t>9780809128501</t>
        </is>
      </c>
      <c r="BE528" t="inlineStr">
        <is>
          <t>32285000346949</t>
        </is>
      </c>
      <c r="BF528" t="inlineStr">
        <is>
          <t>893438705</t>
        </is>
      </c>
    </row>
    <row r="529">
      <c r="A529" t="inlineStr">
        <is>
          <t>No</t>
        </is>
      </c>
      <c r="B529" t="inlineStr">
        <is>
          <t>CURAL</t>
        </is>
      </c>
      <c r="C529" t="inlineStr">
        <is>
          <t>SHELVES</t>
        </is>
      </c>
      <c r="D529" t="inlineStr">
        <is>
          <t>BL687 .S43 1995</t>
        </is>
      </c>
      <c r="E529" t="inlineStr">
        <is>
          <t>0                      BL 0687000S  43          1995</t>
        </is>
      </c>
      <c r="F529" t="inlineStr">
        <is>
          <t>Secrecy and concealment : studies in the history of Mediterranean and Near Eastern religions / edited by Hans G. Kippenberg and Guy G. Stroumsa.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N529" t="inlineStr">
        <is>
          <t>Leiden ; New York : E.J. Brill, 1995.</t>
        </is>
      </c>
      <c r="O529" t="inlineStr">
        <is>
          <t>1995</t>
        </is>
      </c>
      <c r="Q529" t="inlineStr">
        <is>
          <t>eng</t>
        </is>
      </c>
      <c r="R529" t="inlineStr">
        <is>
          <t xml:space="preserve">ne </t>
        </is>
      </c>
      <c r="S529" t="inlineStr">
        <is>
          <t>Studies in the history of religions, 0169-8834 ; v. 65</t>
        </is>
      </c>
      <c r="T529" t="inlineStr">
        <is>
          <t xml:space="preserve">BL </t>
        </is>
      </c>
      <c r="U529" t="n">
        <v>1</v>
      </c>
      <c r="V529" t="n">
        <v>1</v>
      </c>
      <c r="W529" t="inlineStr">
        <is>
          <t>1998-03-18</t>
        </is>
      </c>
      <c r="X529" t="inlineStr">
        <is>
          <t>1998-03-18</t>
        </is>
      </c>
      <c r="Y529" t="inlineStr">
        <is>
          <t>1996-06-20</t>
        </is>
      </c>
      <c r="Z529" t="inlineStr">
        <is>
          <t>1996-06-20</t>
        </is>
      </c>
      <c r="AA529" t="n">
        <v>242</v>
      </c>
      <c r="AB529" t="n">
        <v>159</v>
      </c>
      <c r="AC529" t="n">
        <v>171</v>
      </c>
      <c r="AD529" t="n">
        <v>2</v>
      </c>
      <c r="AE529" t="n">
        <v>2</v>
      </c>
      <c r="AF529" t="n">
        <v>7</v>
      </c>
      <c r="AG529" t="n">
        <v>7</v>
      </c>
      <c r="AH529" t="n">
        <v>0</v>
      </c>
      <c r="AI529" t="n">
        <v>0</v>
      </c>
      <c r="AJ529" t="n">
        <v>2</v>
      </c>
      <c r="AK529" t="n">
        <v>2</v>
      </c>
      <c r="AL529" t="n">
        <v>5</v>
      </c>
      <c r="AM529" t="n">
        <v>5</v>
      </c>
      <c r="AN529" t="n">
        <v>1</v>
      </c>
      <c r="AO529" t="n">
        <v>1</v>
      </c>
      <c r="AP529" t="n">
        <v>0</v>
      </c>
      <c r="AQ529" t="n">
        <v>0</v>
      </c>
      <c r="AR529" t="inlineStr">
        <is>
          <t>No</t>
        </is>
      </c>
      <c r="AS529" t="inlineStr">
        <is>
          <t>No</t>
        </is>
      </c>
      <c r="AU529">
        <f>HYPERLINK("https://creighton-primo.hosted.exlibrisgroup.com/primo-explore/search?tab=default_tab&amp;search_scope=EVERYTHING&amp;vid=01CRU&amp;lang=en_US&amp;offset=0&amp;query=any,contains,991002450789702656","Catalog Record")</f>
        <v/>
      </c>
      <c r="AV529">
        <f>HYPERLINK("http://www.worldcat.org/oclc/31969450","WorldCat Record")</f>
        <v/>
      </c>
      <c r="AW529" t="inlineStr">
        <is>
          <t>890196563:eng</t>
        </is>
      </c>
      <c r="AX529" t="inlineStr">
        <is>
          <t>31969450</t>
        </is>
      </c>
      <c r="AY529" t="inlineStr">
        <is>
          <t>991002450789702656</t>
        </is>
      </c>
      <c r="AZ529" t="inlineStr">
        <is>
          <t>991002450789702656</t>
        </is>
      </c>
      <c r="BA529" t="inlineStr">
        <is>
          <t>2260892340002656</t>
        </is>
      </c>
      <c r="BB529" t="inlineStr">
        <is>
          <t>BOOK</t>
        </is>
      </c>
      <c r="BD529" t="inlineStr">
        <is>
          <t>9789004102354</t>
        </is>
      </c>
      <c r="BE529" t="inlineStr">
        <is>
          <t>32285002171212</t>
        </is>
      </c>
      <c r="BF529" t="inlineStr">
        <is>
          <t>893239061</t>
        </is>
      </c>
    </row>
    <row r="530">
      <c r="A530" t="inlineStr">
        <is>
          <t>No</t>
        </is>
      </c>
      <c r="B530" t="inlineStr">
        <is>
          <t>CURAL</t>
        </is>
      </c>
      <c r="C530" t="inlineStr">
        <is>
          <t>SHELVES</t>
        </is>
      </c>
      <c r="D530" t="inlineStr">
        <is>
          <t>BL70 .E43 1974</t>
        </is>
      </c>
      <c r="E530" t="inlineStr">
        <is>
          <t>0                      BL 0070000E  43          1974</t>
        </is>
      </c>
      <c r="F530" t="inlineStr">
        <is>
          <t>Man and the sacred; a thematic source book of the history of religions.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Eliade, Mircea, 1907-1986.</t>
        </is>
      </c>
      <c r="N530" t="inlineStr">
        <is>
          <t>New York, Harper &amp; Row [1974]</t>
        </is>
      </c>
      <c r="O530" t="inlineStr">
        <is>
          <t>1974</t>
        </is>
      </c>
      <c r="Q530" t="inlineStr">
        <is>
          <t>eng</t>
        </is>
      </c>
      <c r="R530" t="inlineStr">
        <is>
          <t>___</t>
        </is>
      </c>
      <c r="T530" t="inlineStr">
        <is>
          <t xml:space="preserve">BL </t>
        </is>
      </c>
      <c r="U530" t="n">
        <v>3</v>
      </c>
      <c r="V530" t="n">
        <v>3</v>
      </c>
      <c r="W530" t="inlineStr">
        <is>
          <t>2006-12-09</t>
        </is>
      </c>
      <c r="X530" t="inlineStr">
        <is>
          <t>2006-12-09</t>
        </is>
      </c>
      <c r="Y530" t="inlineStr">
        <is>
          <t>1990-09-28</t>
        </is>
      </c>
      <c r="Z530" t="inlineStr">
        <is>
          <t>1990-09-28</t>
        </is>
      </c>
      <c r="AA530" t="n">
        <v>304</v>
      </c>
      <c r="AB530" t="n">
        <v>269</v>
      </c>
      <c r="AC530" t="n">
        <v>275</v>
      </c>
      <c r="AD530" t="n">
        <v>2</v>
      </c>
      <c r="AE530" t="n">
        <v>2</v>
      </c>
      <c r="AF530" t="n">
        <v>14</v>
      </c>
      <c r="AG530" t="n">
        <v>14</v>
      </c>
      <c r="AH530" t="n">
        <v>5</v>
      </c>
      <c r="AI530" t="n">
        <v>5</v>
      </c>
      <c r="AJ530" t="n">
        <v>4</v>
      </c>
      <c r="AK530" t="n">
        <v>4</v>
      </c>
      <c r="AL530" t="n">
        <v>8</v>
      </c>
      <c r="AM530" t="n">
        <v>8</v>
      </c>
      <c r="AN530" t="n">
        <v>1</v>
      </c>
      <c r="AO530" t="n">
        <v>1</v>
      </c>
      <c r="AP530" t="n">
        <v>0</v>
      </c>
      <c r="AQ530" t="n">
        <v>0</v>
      </c>
      <c r="AR530" t="inlineStr">
        <is>
          <t>No</t>
        </is>
      </c>
      <c r="AS530" t="inlineStr">
        <is>
          <t>No</t>
        </is>
      </c>
      <c r="AU530">
        <f>HYPERLINK("https://creighton-primo.hosted.exlibrisgroup.com/primo-explore/search?tab=default_tab&amp;search_scope=EVERYTHING&amp;vid=01CRU&amp;lang=en_US&amp;offset=0&amp;query=any,contains,991003500289702656","Catalog Record")</f>
        <v/>
      </c>
      <c r="AV530">
        <f>HYPERLINK("http://www.worldcat.org/oclc/1052885","WorldCat Record")</f>
        <v/>
      </c>
      <c r="AW530" t="inlineStr">
        <is>
          <t>52668543:eng</t>
        </is>
      </c>
      <c r="AX530" t="inlineStr">
        <is>
          <t>1052885</t>
        </is>
      </c>
      <c r="AY530" t="inlineStr">
        <is>
          <t>991003500289702656</t>
        </is>
      </c>
      <c r="AZ530" t="inlineStr">
        <is>
          <t>991003500289702656</t>
        </is>
      </c>
      <c r="BA530" t="inlineStr">
        <is>
          <t>2270108900002656</t>
        </is>
      </c>
      <c r="BB530" t="inlineStr">
        <is>
          <t>BOOK</t>
        </is>
      </c>
      <c r="BE530" t="inlineStr">
        <is>
          <t>32285000324250</t>
        </is>
      </c>
      <c r="BF530" t="inlineStr">
        <is>
          <t>893258481</t>
        </is>
      </c>
    </row>
    <row r="531">
      <c r="A531" t="inlineStr">
        <is>
          <t>No</t>
        </is>
      </c>
      <c r="B531" t="inlineStr">
        <is>
          <t>CURAL</t>
        </is>
      </c>
      <c r="C531" t="inlineStr">
        <is>
          <t>SHELVES</t>
        </is>
      </c>
      <c r="D531" t="inlineStr">
        <is>
          <t>BL71 .C74</t>
        </is>
      </c>
      <c r="E531" t="inlineStr">
        <is>
          <t>0                      BL 0071000C  74</t>
        </is>
      </c>
      <c r="F531" t="inlineStr">
        <is>
          <t>The Critical study of sacred texts / edited by Wendy Doniger O'Flaherty.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[Berkeley] : Graduate Theological Union, 1979.</t>
        </is>
      </c>
      <c r="O531" t="inlineStr">
        <is>
          <t>1979</t>
        </is>
      </c>
      <c r="Q531" t="inlineStr">
        <is>
          <t>eng</t>
        </is>
      </c>
      <c r="R531" t="inlineStr">
        <is>
          <t>cau</t>
        </is>
      </c>
      <c r="S531" t="inlineStr">
        <is>
          <t>Berkeley religious studies series ; 2</t>
        </is>
      </c>
      <c r="T531" t="inlineStr">
        <is>
          <t xml:space="preserve">BL </t>
        </is>
      </c>
      <c r="U531" t="n">
        <v>1</v>
      </c>
      <c r="V531" t="n">
        <v>1</v>
      </c>
      <c r="W531" t="inlineStr">
        <is>
          <t>2008-11-11</t>
        </is>
      </c>
      <c r="X531" t="inlineStr">
        <is>
          <t>2008-11-11</t>
        </is>
      </c>
      <c r="Y531" t="inlineStr">
        <is>
          <t>1990-09-28</t>
        </is>
      </c>
      <c r="Z531" t="inlineStr">
        <is>
          <t>1990-09-28</t>
        </is>
      </c>
      <c r="AA531" t="n">
        <v>314</v>
      </c>
      <c r="AB531" t="n">
        <v>253</v>
      </c>
      <c r="AC531" t="n">
        <v>292</v>
      </c>
      <c r="AD531" t="n">
        <v>2</v>
      </c>
      <c r="AE531" t="n">
        <v>2</v>
      </c>
      <c r="AF531" t="n">
        <v>14</v>
      </c>
      <c r="AG531" t="n">
        <v>17</v>
      </c>
      <c r="AH531" t="n">
        <v>3</v>
      </c>
      <c r="AI531" t="n">
        <v>4</v>
      </c>
      <c r="AJ531" t="n">
        <v>3</v>
      </c>
      <c r="AK531" t="n">
        <v>3</v>
      </c>
      <c r="AL531" t="n">
        <v>12</v>
      </c>
      <c r="AM531" t="n">
        <v>14</v>
      </c>
      <c r="AN531" t="n">
        <v>1</v>
      </c>
      <c r="AO531" t="n">
        <v>1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HYPERLINK("http://catalog.hathitrust.org/Record/101973757","HathiTrust Record")</f>
        <v/>
      </c>
      <c r="AU531">
        <f>HYPERLINK("https://creighton-primo.hosted.exlibrisgroup.com/primo-explore/search?tab=default_tab&amp;search_scope=EVERYTHING&amp;vid=01CRU&amp;lang=en_US&amp;offset=0&amp;query=any,contains,991004873069702656","Catalog Record")</f>
        <v/>
      </c>
      <c r="AV531">
        <f>HYPERLINK("http://www.worldcat.org/oclc/5776177","WorldCat Record")</f>
        <v/>
      </c>
      <c r="AW531" t="inlineStr">
        <is>
          <t>365494427:eng</t>
        </is>
      </c>
      <c r="AX531" t="inlineStr">
        <is>
          <t>5776177</t>
        </is>
      </c>
      <c r="AY531" t="inlineStr">
        <is>
          <t>991004873069702656</t>
        </is>
      </c>
      <c r="AZ531" t="inlineStr">
        <is>
          <t>991004873069702656</t>
        </is>
      </c>
      <c r="BA531" t="inlineStr">
        <is>
          <t>2255815970002656</t>
        </is>
      </c>
      <c r="BB531" t="inlineStr">
        <is>
          <t>BOOK</t>
        </is>
      </c>
      <c r="BD531" t="inlineStr">
        <is>
          <t>9780895811011</t>
        </is>
      </c>
      <c r="BE531" t="inlineStr">
        <is>
          <t>32285000324292</t>
        </is>
      </c>
      <c r="BF531" t="inlineStr">
        <is>
          <t>893789189</t>
        </is>
      </c>
    </row>
    <row r="532">
      <c r="A532" t="inlineStr">
        <is>
          <t>No</t>
        </is>
      </c>
      <c r="B532" t="inlineStr">
        <is>
          <t>CURAL</t>
        </is>
      </c>
      <c r="C532" t="inlineStr">
        <is>
          <t>SHELVES</t>
        </is>
      </c>
      <c r="D532" t="inlineStr">
        <is>
          <t>BL71 .R44 1987</t>
        </is>
      </c>
      <c r="E532" t="inlineStr">
        <is>
          <t>0                      BL 0071000R  44          1987</t>
        </is>
      </c>
      <c r="F532" t="inlineStr">
        <is>
          <t>Les Règles de l'interprétation / édité par Michel Tardieu.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N532" t="inlineStr">
        <is>
          <t>Paris : Cerf, 1987.</t>
        </is>
      </c>
      <c r="O532" t="inlineStr">
        <is>
          <t>1987</t>
        </is>
      </c>
      <c r="Q532" t="inlineStr">
        <is>
          <t>fre</t>
        </is>
      </c>
      <c r="R532" t="inlineStr">
        <is>
          <t xml:space="preserve">fr </t>
        </is>
      </c>
      <c r="S532" t="inlineStr">
        <is>
          <t>Patrimoines. Religions du livre</t>
        </is>
      </c>
      <c r="T532" t="inlineStr">
        <is>
          <t xml:space="preserve">BL </t>
        </is>
      </c>
      <c r="U532" t="n">
        <v>2</v>
      </c>
      <c r="V532" t="n">
        <v>2</v>
      </c>
      <c r="W532" t="inlineStr">
        <is>
          <t>2006-08-01</t>
        </is>
      </c>
      <c r="X532" t="inlineStr">
        <is>
          <t>2006-08-01</t>
        </is>
      </c>
      <c r="Y532" t="inlineStr">
        <is>
          <t>1990-09-28</t>
        </is>
      </c>
      <c r="Z532" t="inlineStr">
        <is>
          <t>1990-09-28</t>
        </is>
      </c>
      <c r="AA532" t="n">
        <v>70</v>
      </c>
      <c r="AB532" t="n">
        <v>45</v>
      </c>
      <c r="AC532" t="n">
        <v>46</v>
      </c>
      <c r="AD532" t="n">
        <v>1</v>
      </c>
      <c r="AE532" t="n">
        <v>1</v>
      </c>
      <c r="AF532" t="n">
        <v>4</v>
      </c>
      <c r="AG532" t="n">
        <v>4</v>
      </c>
      <c r="AH532" t="n">
        <v>1</v>
      </c>
      <c r="AI532" t="n">
        <v>1</v>
      </c>
      <c r="AJ532" t="n">
        <v>1</v>
      </c>
      <c r="AK532" t="n">
        <v>1</v>
      </c>
      <c r="AL532" t="n">
        <v>4</v>
      </c>
      <c r="AM532" t="n">
        <v>4</v>
      </c>
      <c r="AN532" t="n">
        <v>0</v>
      </c>
      <c r="AO532" t="n">
        <v>0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HYPERLINK("http://catalog.hathitrust.org/Record/101884985","HathiTrust Record")</f>
        <v/>
      </c>
      <c r="AU532">
        <f>HYPERLINK("https://creighton-primo.hosted.exlibrisgroup.com/primo-explore/search?tab=default_tab&amp;search_scope=EVERYTHING&amp;vid=01CRU&amp;lang=en_US&amp;offset=0&amp;query=any,contains,991001239969702656","Catalog Record")</f>
        <v/>
      </c>
      <c r="AV532">
        <f>HYPERLINK("http://www.worldcat.org/oclc/17618087","WorldCat Record")</f>
        <v/>
      </c>
      <c r="AW532" t="inlineStr">
        <is>
          <t>345982917:fre</t>
        </is>
      </c>
      <c r="AX532" t="inlineStr">
        <is>
          <t>17618087</t>
        </is>
      </c>
      <c r="AY532" t="inlineStr">
        <is>
          <t>991001239969702656</t>
        </is>
      </c>
      <c r="AZ532" t="inlineStr">
        <is>
          <t>991001239969702656</t>
        </is>
      </c>
      <c r="BA532" t="inlineStr">
        <is>
          <t>2256422330002656</t>
        </is>
      </c>
      <c r="BB532" t="inlineStr">
        <is>
          <t>BOOK</t>
        </is>
      </c>
      <c r="BD532" t="inlineStr">
        <is>
          <t>9782204025232</t>
        </is>
      </c>
      <c r="BE532" t="inlineStr">
        <is>
          <t>32285000324326</t>
        </is>
      </c>
      <c r="BF532" t="inlineStr">
        <is>
          <t>893791307</t>
        </is>
      </c>
    </row>
    <row r="533">
      <c r="A533" t="inlineStr">
        <is>
          <t>No</t>
        </is>
      </c>
      <c r="B533" t="inlineStr">
        <is>
          <t>CURAL</t>
        </is>
      </c>
      <c r="C533" t="inlineStr">
        <is>
          <t>SHELVES</t>
        </is>
      </c>
      <c r="D533" t="inlineStr">
        <is>
          <t>BL715 .G68 1979</t>
        </is>
      </c>
      <c r="E533" t="inlineStr">
        <is>
          <t>0                      BL 0715000G  68          1979</t>
        </is>
      </c>
      <c r="F533" t="inlineStr">
        <is>
          <t>Who's who in classical mythology / Michael Grant and John Hazel.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Grant, Michael, 1914-2004.</t>
        </is>
      </c>
      <c r="N533" t="inlineStr">
        <is>
          <t>London : Hodder and Stoughten ; New York : D. McKay, 1979.</t>
        </is>
      </c>
      <c r="O533" t="inlineStr">
        <is>
          <t>1979</t>
        </is>
      </c>
      <c r="Q533" t="inlineStr">
        <is>
          <t>eng</t>
        </is>
      </c>
      <c r="R533" t="inlineStr">
        <is>
          <t>enk</t>
        </is>
      </c>
      <c r="S533" t="inlineStr">
        <is>
          <t>Teach yourself books</t>
        </is>
      </c>
      <c r="T533" t="inlineStr">
        <is>
          <t xml:space="preserve">BL </t>
        </is>
      </c>
      <c r="U533" t="n">
        <v>7</v>
      </c>
      <c r="V533" t="n">
        <v>7</v>
      </c>
      <c r="W533" t="inlineStr">
        <is>
          <t>2007-12-05</t>
        </is>
      </c>
      <c r="X533" t="inlineStr">
        <is>
          <t>2007-12-05</t>
        </is>
      </c>
      <c r="Y533" t="inlineStr">
        <is>
          <t>1996-12-30</t>
        </is>
      </c>
      <c r="Z533" t="inlineStr">
        <is>
          <t>1996-12-30</t>
        </is>
      </c>
      <c r="AA533" t="n">
        <v>35</v>
      </c>
      <c r="AB533" t="n">
        <v>26</v>
      </c>
      <c r="AC533" t="n">
        <v>924</v>
      </c>
      <c r="AD533" t="n">
        <v>1</v>
      </c>
      <c r="AE533" t="n">
        <v>3</v>
      </c>
      <c r="AF533" t="n">
        <v>0</v>
      </c>
      <c r="AG533" t="n">
        <v>33</v>
      </c>
      <c r="AH533" t="n">
        <v>0</v>
      </c>
      <c r="AI533" t="n">
        <v>20</v>
      </c>
      <c r="AJ533" t="n">
        <v>0</v>
      </c>
      <c r="AK533" t="n">
        <v>6</v>
      </c>
      <c r="AL533" t="n">
        <v>0</v>
      </c>
      <c r="AM533" t="n">
        <v>11</v>
      </c>
      <c r="AN533" t="n">
        <v>0</v>
      </c>
      <c r="AO533" t="n">
        <v>2</v>
      </c>
      <c r="AP533" t="n">
        <v>0</v>
      </c>
      <c r="AQ533" t="n">
        <v>1</v>
      </c>
      <c r="AR533" t="inlineStr">
        <is>
          <t>No</t>
        </is>
      </c>
      <c r="AS533" t="inlineStr">
        <is>
          <t>No</t>
        </is>
      </c>
      <c r="AU533">
        <f>HYPERLINK("https://creighton-primo.hosted.exlibrisgroup.com/primo-explore/search?tab=default_tab&amp;search_scope=EVERYTHING&amp;vid=01CRU&amp;lang=en_US&amp;offset=0&amp;query=any,contains,991005014419702656","Catalog Record")</f>
        <v/>
      </c>
      <c r="AV533">
        <f>HYPERLINK("http://www.worldcat.org/oclc/6617588","WorldCat Record")</f>
        <v/>
      </c>
      <c r="AW533" t="inlineStr">
        <is>
          <t>20720596:eng</t>
        </is>
      </c>
      <c r="AX533" t="inlineStr">
        <is>
          <t>6617588</t>
        </is>
      </c>
      <c r="AY533" t="inlineStr">
        <is>
          <t>991005014419702656</t>
        </is>
      </c>
      <c r="AZ533" t="inlineStr">
        <is>
          <t>991005014419702656</t>
        </is>
      </c>
      <c r="BA533" t="inlineStr">
        <is>
          <t>2257320060002656</t>
        </is>
      </c>
      <c r="BB533" t="inlineStr">
        <is>
          <t>BOOK</t>
        </is>
      </c>
      <c r="BD533" t="inlineStr">
        <is>
          <t>9780340238462</t>
        </is>
      </c>
      <c r="BE533" t="inlineStr">
        <is>
          <t>32285002402682</t>
        </is>
      </c>
      <c r="BF533" t="inlineStr">
        <is>
          <t>893613008</t>
        </is>
      </c>
    </row>
    <row r="534">
      <c r="A534" t="inlineStr">
        <is>
          <t>No</t>
        </is>
      </c>
      <c r="B534" t="inlineStr">
        <is>
          <t>CURAL</t>
        </is>
      </c>
      <c r="C534" t="inlineStr">
        <is>
          <t>SHELVES</t>
        </is>
      </c>
      <c r="D534" t="inlineStr">
        <is>
          <t>BL715 .Z5</t>
        </is>
      </c>
      <c r="E534" t="inlineStr">
        <is>
          <t>0                      BL 0715000Z  5</t>
        </is>
      </c>
      <c r="F534" t="inlineStr">
        <is>
          <t>Dictionary of classical mythology.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Zimmerman, J. E. (John Edward), 1901-</t>
        </is>
      </c>
      <c r="N534" t="inlineStr">
        <is>
          <t>New York, Harper &amp; Row [1964]</t>
        </is>
      </c>
      <c r="O534" t="inlineStr">
        <is>
          <t>1964</t>
        </is>
      </c>
      <c r="P534" t="inlineStr">
        <is>
          <t>[1st ed.]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BL </t>
        </is>
      </c>
      <c r="U534" t="n">
        <v>7</v>
      </c>
      <c r="V534" t="n">
        <v>7</v>
      </c>
      <c r="W534" t="inlineStr">
        <is>
          <t>2010-06-15</t>
        </is>
      </c>
      <c r="X534" t="inlineStr">
        <is>
          <t>2010-06-15</t>
        </is>
      </c>
      <c r="Y534" t="inlineStr">
        <is>
          <t>1998-04-08</t>
        </is>
      </c>
      <c r="Z534" t="inlineStr">
        <is>
          <t>1998-04-08</t>
        </is>
      </c>
      <c r="AA534" t="n">
        <v>998</v>
      </c>
      <c r="AB534" t="n">
        <v>900</v>
      </c>
      <c r="AC534" t="n">
        <v>1255</v>
      </c>
      <c r="AD534" t="n">
        <v>10</v>
      </c>
      <c r="AE534" t="n">
        <v>15</v>
      </c>
      <c r="AF534" t="n">
        <v>16</v>
      </c>
      <c r="AG534" t="n">
        <v>21</v>
      </c>
      <c r="AH534" t="n">
        <v>7</v>
      </c>
      <c r="AI534" t="n">
        <v>7</v>
      </c>
      <c r="AJ534" t="n">
        <v>4</v>
      </c>
      <c r="AK534" t="n">
        <v>4</v>
      </c>
      <c r="AL534" t="n">
        <v>9</v>
      </c>
      <c r="AM534" t="n">
        <v>13</v>
      </c>
      <c r="AN534" t="n">
        <v>2</v>
      </c>
      <c r="AO534" t="n">
        <v>3</v>
      </c>
      <c r="AP534" t="n">
        <v>0</v>
      </c>
      <c r="AQ534" t="n">
        <v>0</v>
      </c>
      <c r="AR534" t="inlineStr">
        <is>
          <t>No</t>
        </is>
      </c>
      <c r="AS534" t="inlineStr">
        <is>
          <t>No</t>
        </is>
      </c>
      <c r="AU534">
        <f>HYPERLINK("https://creighton-primo.hosted.exlibrisgroup.com/primo-explore/search?tab=default_tab&amp;search_scope=EVERYTHING&amp;vid=01CRU&amp;lang=en_US&amp;offset=0&amp;query=any,contains,991001178609702656","Catalog Record")</f>
        <v/>
      </c>
      <c r="AV534">
        <f>HYPERLINK("http://www.worldcat.org/oclc/381397","WorldCat Record")</f>
        <v/>
      </c>
      <c r="AW534" t="inlineStr">
        <is>
          <t>402141:eng</t>
        </is>
      </c>
      <c r="AX534" t="inlineStr">
        <is>
          <t>381397</t>
        </is>
      </c>
      <c r="AY534" t="inlineStr">
        <is>
          <t>991001178609702656</t>
        </is>
      </c>
      <c r="AZ534" t="inlineStr">
        <is>
          <t>991001178609702656</t>
        </is>
      </c>
      <c r="BA534" t="inlineStr">
        <is>
          <t>2259713180002656</t>
        </is>
      </c>
      <c r="BB534" t="inlineStr">
        <is>
          <t>BOOK</t>
        </is>
      </c>
      <c r="BE534" t="inlineStr">
        <is>
          <t>32285003388385</t>
        </is>
      </c>
      <c r="BF534" t="inlineStr">
        <is>
          <t>893608622</t>
        </is>
      </c>
    </row>
    <row r="535">
      <c r="A535" t="inlineStr">
        <is>
          <t>No</t>
        </is>
      </c>
      <c r="B535" t="inlineStr">
        <is>
          <t>CURAL</t>
        </is>
      </c>
      <c r="C535" t="inlineStr">
        <is>
          <t>SHELVES</t>
        </is>
      </c>
      <c r="D535" t="inlineStr">
        <is>
          <t>BL721 .G3 1911</t>
        </is>
      </c>
      <c r="E535" t="inlineStr">
        <is>
          <t>0                      BL 0721000G  3           1911</t>
        </is>
      </c>
      <c r="F535" t="inlineStr">
        <is>
          <t>The classic myths in English literature and in art based originally on Bulfinch's "Age of fable" (1855) accompanied by an interpretative and illustrative commentary, by Charles Mills Gayley.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M535" t="inlineStr">
        <is>
          <t>Gayley, Charles Mills, 1858-1932 editor.</t>
        </is>
      </c>
      <c r="N535" t="inlineStr">
        <is>
          <t>Boston, New York [etc.] Ginn and company [c1911]</t>
        </is>
      </c>
      <c r="O535" t="inlineStr">
        <is>
          <t>1911</t>
        </is>
      </c>
      <c r="P535" t="inlineStr">
        <is>
          <t>New ed., rev. and enl.</t>
        </is>
      </c>
      <c r="Q535" t="inlineStr">
        <is>
          <t>eng</t>
        </is>
      </c>
      <c r="R535" t="inlineStr">
        <is>
          <t>mau</t>
        </is>
      </c>
      <c r="T535" t="inlineStr">
        <is>
          <t xml:space="preserve">BL </t>
        </is>
      </c>
      <c r="U535" t="n">
        <v>1</v>
      </c>
      <c r="V535" t="n">
        <v>1</v>
      </c>
      <c r="W535" t="inlineStr">
        <is>
          <t>2005-03-01</t>
        </is>
      </c>
      <c r="X535" t="inlineStr">
        <is>
          <t>2005-03-01</t>
        </is>
      </c>
      <c r="Y535" t="inlineStr">
        <is>
          <t>1990-10-12</t>
        </is>
      </c>
      <c r="Z535" t="inlineStr">
        <is>
          <t>1990-10-12</t>
        </is>
      </c>
      <c r="AA535" t="n">
        <v>919</v>
      </c>
      <c r="AB535" t="n">
        <v>852</v>
      </c>
      <c r="AC535" t="n">
        <v>899</v>
      </c>
      <c r="AD535" t="n">
        <v>7</v>
      </c>
      <c r="AE535" t="n">
        <v>9</v>
      </c>
      <c r="AF535" t="n">
        <v>27</v>
      </c>
      <c r="AG535" t="n">
        <v>32</v>
      </c>
      <c r="AH535" t="n">
        <v>14</v>
      </c>
      <c r="AI535" t="n">
        <v>15</v>
      </c>
      <c r="AJ535" t="n">
        <v>3</v>
      </c>
      <c r="AK535" t="n">
        <v>5</v>
      </c>
      <c r="AL535" t="n">
        <v>12</v>
      </c>
      <c r="AM535" t="n">
        <v>13</v>
      </c>
      <c r="AN535" t="n">
        <v>4</v>
      </c>
      <c r="AO535" t="n">
        <v>6</v>
      </c>
      <c r="AP535" t="n">
        <v>0</v>
      </c>
      <c r="AQ535" t="n">
        <v>0</v>
      </c>
      <c r="AR535" t="inlineStr">
        <is>
          <t>Yes</t>
        </is>
      </c>
      <c r="AS535" t="inlineStr">
        <is>
          <t>No</t>
        </is>
      </c>
      <c r="AT535">
        <f>HYPERLINK("http://catalog.hathitrust.org/Record/001392098","HathiTrust Record")</f>
        <v/>
      </c>
      <c r="AU535">
        <f>HYPERLINK("https://creighton-primo.hosted.exlibrisgroup.com/primo-explore/search?tab=default_tab&amp;search_scope=EVERYTHING&amp;vid=01CRU&amp;lang=en_US&amp;offset=0&amp;query=any,contains,991002623699702656","Catalog Record")</f>
        <v/>
      </c>
      <c r="AV535">
        <f>HYPERLINK("http://www.worldcat.org/oclc/381391","WorldCat Record")</f>
        <v/>
      </c>
      <c r="AW535" t="inlineStr">
        <is>
          <t>10596147469:eng</t>
        </is>
      </c>
      <c r="AX535" t="inlineStr">
        <is>
          <t>381391</t>
        </is>
      </c>
      <c r="AY535" t="inlineStr">
        <is>
          <t>991002623699702656</t>
        </is>
      </c>
      <c r="AZ535" t="inlineStr">
        <is>
          <t>991002623699702656</t>
        </is>
      </c>
      <c r="BA535" t="inlineStr">
        <is>
          <t>2259713710002656</t>
        </is>
      </c>
      <c r="BB535" t="inlineStr">
        <is>
          <t>BOOK</t>
        </is>
      </c>
      <c r="BE535" t="inlineStr">
        <is>
          <t>32285000347079</t>
        </is>
      </c>
      <c r="BF535" t="inlineStr">
        <is>
          <t>893867464</t>
        </is>
      </c>
    </row>
    <row r="536">
      <c r="A536" t="inlineStr">
        <is>
          <t>No</t>
        </is>
      </c>
      <c r="B536" t="inlineStr">
        <is>
          <t>CURAL</t>
        </is>
      </c>
      <c r="C536" t="inlineStr">
        <is>
          <t>SHELVES</t>
        </is>
      </c>
      <c r="D536" t="inlineStr">
        <is>
          <t>BL721 .G8</t>
        </is>
      </c>
      <c r="E536" t="inlineStr">
        <is>
          <t>0                      BL 0721000G  8</t>
        </is>
      </c>
      <c r="F536" t="inlineStr">
        <is>
          <t>Myths of Greece and Rome, narrated with special reference to literature and art, by H. A. Guerber ...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M536" t="inlineStr">
        <is>
          <t>Guerber, H. A. (Hélène Adeline), 1859-1929.</t>
        </is>
      </c>
      <c r="N536" t="inlineStr">
        <is>
          <t>New York, Chicago [etc.] American book company [1893]</t>
        </is>
      </c>
      <c r="O536" t="inlineStr">
        <is>
          <t>1893</t>
        </is>
      </c>
      <c r="Q536" t="inlineStr">
        <is>
          <t>eng</t>
        </is>
      </c>
      <c r="R536" t="inlineStr">
        <is>
          <t>nyu</t>
        </is>
      </c>
      <c r="T536" t="inlineStr">
        <is>
          <t xml:space="preserve">BL </t>
        </is>
      </c>
      <c r="U536" t="n">
        <v>7</v>
      </c>
      <c r="V536" t="n">
        <v>7</v>
      </c>
      <c r="W536" t="inlineStr">
        <is>
          <t>1998-04-29</t>
        </is>
      </c>
      <c r="X536" t="inlineStr">
        <is>
          <t>1998-04-29</t>
        </is>
      </c>
      <c r="Y536" t="inlineStr">
        <is>
          <t>1990-10-12</t>
        </is>
      </c>
      <c r="Z536" t="inlineStr">
        <is>
          <t>1990-10-12</t>
        </is>
      </c>
      <c r="AA536" t="n">
        <v>523</v>
      </c>
      <c r="AB536" t="n">
        <v>499</v>
      </c>
      <c r="AC536" t="n">
        <v>739</v>
      </c>
      <c r="AD536" t="n">
        <v>8</v>
      </c>
      <c r="AE536" t="n">
        <v>10</v>
      </c>
      <c r="AF536" t="n">
        <v>21</v>
      </c>
      <c r="AG536" t="n">
        <v>30</v>
      </c>
      <c r="AH536" t="n">
        <v>8</v>
      </c>
      <c r="AI536" t="n">
        <v>12</v>
      </c>
      <c r="AJ536" t="n">
        <v>4</v>
      </c>
      <c r="AK536" t="n">
        <v>4</v>
      </c>
      <c r="AL536" t="n">
        <v>10</v>
      </c>
      <c r="AM536" t="n">
        <v>14</v>
      </c>
      <c r="AN536" t="n">
        <v>4</v>
      </c>
      <c r="AO536" t="n">
        <v>6</v>
      </c>
      <c r="AP536" t="n">
        <v>0</v>
      </c>
      <c r="AQ536" t="n">
        <v>1</v>
      </c>
      <c r="AR536" t="inlineStr">
        <is>
          <t>Yes</t>
        </is>
      </c>
      <c r="AS536" t="inlineStr">
        <is>
          <t>No</t>
        </is>
      </c>
      <c r="AT536">
        <f>HYPERLINK("http://catalog.hathitrust.org/Record/001392442","HathiTrust Record")</f>
        <v/>
      </c>
      <c r="AU536">
        <f>HYPERLINK("https://creighton-primo.hosted.exlibrisgroup.com/primo-explore/search?tab=default_tab&amp;search_scope=EVERYTHING&amp;vid=01CRU&amp;lang=en_US&amp;offset=0&amp;query=any,contains,991002598959702656","Catalog Record")</f>
        <v/>
      </c>
      <c r="AV536">
        <f>HYPERLINK("http://www.worldcat.org/oclc/376978","WorldCat Record")</f>
        <v/>
      </c>
      <c r="AW536" t="inlineStr">
        <is>
          <t>3772411047:eng</t>
        </is>
      </c>
      <c r="AX536" t="inlineStr">
        <is>
          <t>376978</t>
        </is>
      </c>
      <c r="AY536" t="inlineStr">
        <is>
          <t>991002598959702656</t>
        </is>
      </c>
      <c r="AZ536" t="inlineStr">
        <is>
          <t>991002598959702656</t>
        </is>
      </c>
      <c r="BA536" t="inlineStr">
        <is>
          <t>2263640920002656</t>
        </is>
      </c>
      <c r="BB536" t="inlineStr">
        <is>
          <t>BOOK</t>
        </is>
      </c>
      <c r="BE536" t="inlineStr">
        <is>
          <t>32285000347103</t>
        </is>
      </c>
      <c r="BF536" t="inlineStr">
        <is>
          <t>893804794</t>
        </is>
      </c>
    </row>
    <row r="537">
      <c r="A537" t="inlineStr">
        <is>
          <t>No</t>
        </is>
      </c>
      <c r="B537" t="inlineStr">
        <is>
          <t>CURAL</t>
        </is>
      </c>
      <c r="C537" t="inlineStr">
        <is>
          <t>SHELVES</t>
        </is>
      </c>
      <c r="D537" t="inlineStr">
        <is>
          <t>BL722 .G7</t>
        </is>
      </c>
      <c r="E537" t="inlineStr">
        <is>
          <t>0                      BL 0722000G  7</t>
        </is>
      </c>
      <c r="F537" t="inlineStr">
        <is>
          <t>Myths of the Greeks and Romans / Michael Grant.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M537" t="inlineStr">
        <is>
          <t>Grant, Michael, 1914-2004.</t>
        </is>
      </c>
      <c r="N537" t="inlineStr">
        <is>
          <t>London : Weidenfeld and Nicholson, [1962]</t>
        </is>
      </c>
      <c r="O537" t="inlineStr">
        <is>
          <t>1962</t>
        </is>
      </c>
      <c r="Q537" t="inlineStr">
        <is>
          <t>eng</t>
        </is>
      </c>
      <c r="R537" t="inlineStr">
        <is>
          <t>enk</t>
        </is>
      </c>
      <c r="T537" t="inlineStr">
        <is>
          <t xml:space="preserve">BL </t>
        </is>
      </c>
      <c r="U537" t="n">
        <v>3</v>
      </c>
      <c r="V537" t="n">
        <v>3</v>
      </c>
      <c r="W537" t="inlineStr">
        <is>
          <t>1995-05-17</t>
        </is>
      </c>
      <c r="X537" t="inlineStr">
        <is>
          <t>1995-05-17</t>
        </is>
      </c>
      <c r="Y537" t="inlineStr">
        <is>
          <t>1990-04-30</t>
        </is>
      </c>
      <c r="Z537" t="inlineStr">
        <is>
          <t>1990-04-30</t>
        </is>
      </c>
      <c r="AA537" t="n">
        <v>158</v>
      </c>
      <c r="AB537" t="n">
        <v>45</v>
      </c>
      <c r="AC537" t="n">
        <v>1470</v>
      </c>
      <c r="AD537" t="n">
        <v>1</v>
      </c>
      <c r="AE537" t="n">
        <v>14</v>
      </c>
      <c r="AF537" t="n">
        <v>3</v>
      </c>
      <c r="AG537" t="n">
        <v>49</v>
      </c>
      <c r="AH537" t="n">
        <v>1</v>
      </c>
      <c r="AI537" t="n">
        <v>22</v>
      </c>
      <c r="AJ537" t="n">
        <v>2</v>
      </c>
      <c r="AK537" t="n">
        <v>10</v>
      </c>
      <c r="AL537" t="n">
        <v>1</v>
      </c>
      <c r="AM537" t="n">
        <v>22</v>
      </c>
      <c r="AN537" t="n">
        <v>0</v>
      </c>
      <c r="AO537" t="n">
        <v>7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HYPERLINK("https://creighton-primo.hosted.exlibrisgroup.com/primo-explore/search?tab=default_tab&amp;search_scope=EVERYTHING&amp;vid=01CRU&amp;lang=en_US&amp;offset=0&amp;query=any,contains,991005065449702656","Catalog Record")</f>
        <v/>
      </c>
      <c r="AV537">
        <f>HYPERLINK("http://www.worldcat.org/oclc/6951490","WorldCat Record")</f>
        <v/>
      </c>
      <c r="AW537" t="inlineStr">
        <is>
          <t>104245907:eng</t>
        </is>
      </c>
      <c r="AX537" t="inlineStr">
        <is>
          <t>6951490</t>
        </is>
      </c>
      <c r="AY537" t="inlineStr">
        <is>
          <t>991005065449702656</t>
        </is>
      </c>
      <c r="AZ537" t="inlineStr">
        <is>
          <t>991005065449702656</t>
        </is>
      </c>
      <c r="BA537" t="inlineStr">
        <is>
          <t>2261452910002656</t>
        </is>
      </c>
      <c r="BB537" t="inlineStr">
        <is>
          <t>BOOK</t>
        </is>
      </c>
      <c r="BE537" t="inlineStr">
        <is>
          <t>32285000127638</t>
        </is>
      </c>
      <c r="BF537" t="inlineStr">
        <is>
          <t>893533102</t>
        </is>
      </c>
    </row>
    <row r="538">
      <c r="A538" t="inlineStr">
        <is>
          <t>No</t>
        </is>
      </c>
      <c r="B538" t="inlineStr">
        <is>
          <t>CURAL</t>
        </is>
      </c>
      <c r="C538" t="inlineStr">
        <is>
          <t>SHELVES</t>
        </is>
      </c>
      <c r="D538" t="inlineStr">
        <is>
          <t>BL722 .K4 1962</t>
        </is>
      </c>
      <c r="E538" t="inlineStr">
        <is>
          <t>0                      BL 0722000K  4           1962</t>
        </is>
      </c>
      <c r="F538" t="inlineStr">
        <is>
          <t>The religion of the Greeks and Romans [Translated by Christopher Holme]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M538" t="inlineStr">
        <is>
          <t>Kerényi, Karl, 1897-1973.</t>
        </is>
      </c>
      <c r="N538" t="inlineStr">
        <is>
          <t>London, Thames and Hudson, 1962.</t>
        </is>
      </c>
      <c r="O538" t="inlineStr">
        <is>
          <t>1962</t>
        </is>
      </c>
      <c r="Q538" t="inlineStr">
        <is>
          <t>eng</t>
        </is>
      </c>
      <c r="R538" t="inlineStr">
        <is>
          <t>enk</t>
        </is>
      </c>
      <c r="T538" t="inlineStr">
        <is>
          <t xml:space="preserve">BL </t>
        </is>
      </c>
      <c r="U538" t="n">
        <v>2</v>
      </c>
      <c r="V538" t="n">
        <v>2</v>
      </c>
      <c r="W538" t="inlineStr">
        <is>
          <t>2006-04-20</t>
        </is>
      </c>
      <c r="X538" t="inlineStr">
        <is>
          <t>2006-04-20</t>
        </is>
      </c>
      <c r="Y538" t="inlineStr">
        <is>
          <t>1990-10-12</t>
        </is>
      </c>
      <c r="Z538" t="inlineStr">
        <is>
          <t>1990-10-12</t>
        </is>
      </c>
      <c r="AA538" t="n">
        <v>168</v>
      </c>
      <c r="AB538" t="n">
        <v>82</v>
      </c>
      <c r="AC538" t="n">
        <v>730</v>
      </c>
      <c r="AD538" t="n">
        <v>1</v>
      </c>
      <c r="AE538" t="n">
        <v>6</v>
      </c>
      <c r="AF538" t="n">
        <v>6</v>
      </c>
      <c r="AG538" t="n">
        <v>35</v>
      </c>
      <c r="AH538" t="n">
        <v>1</v>
      </c>
      <c r="AI538" t="n">
        <v>12</v>
      </c>
      <c r="AJ538" t="n">
        <v>4</v>
      </c>
      <c r="AK538" t="n">
        <v>10</v>
      </c>
      <c r="AL538" t="n">
        <v>3</v>
      </c>
      <c r="AM538" t="n">
        <v>16</v>
      </c>
      <c r="AN538" t="n">
        <v>0</v>
      </c>
      <c r="AO538" t="n">
        <v>5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HYPERLINK("https://creighton-primo.hosted.exlibrisgroup.com/primo-explore/search?tab=default_tab&amp;search_scope=EVERYTHING&amp;vid=01CRU&amp;lang=en_US&amp;offset=0&amp;query=any,contains,991004227189702656","Catalog Record")</f>
        <v/>
      </c>
      <c r="AV538">
        <f>HYPERLINK("http://www.worldcat.org/oclc/2735353","WorldCat Record")</f>
        <v/>
      </c>
      <c r="AW538" t="inlineStr">
        <is>
          <t>500625:eng</t>
        </is>
      </c>
      <c r="AX538" t="inlineStr">
        <is>
          <t>2735353</t>
        </is>
      </c>
      <c r="AY538" t="inlineStr">
        <is>
          <t>991004227189702656</t>
        </is>
      </c>
      <c r="AZ538" t="inlineStr">
        <is>
          <t>991004227189702656</t>
        </is>
      </c>
      <c r="BA538" t="inlineStr">
        <is>
          <t>2259377450002656</t>
        </is>
      </c>
      <c r="BB538" t="inlineStr">
        <is>
          <t>BOOK</t>
        </is>
      </c>
      <c r="BE538" t="inlineStr">
        <is>
          <t>32285000347129</t>
        </is>
      </c>
      <c r="BF538" t="inlineStr">
        <is>
          <t>893506579</t>
        </is>
      </c>
    </row>
    <row r="539">
      <c r="A539" t="inlineStr">
        <is>
          <t>No</t>
        </is>
      </c>
      <c r="B539" t="inlineStr">
        <is>
          <t>CURAL</t>
        </is>
      </c>
      <c r="C539" t="inlineStr">
        <is>
          <t>SHELVES</t>
        </is>
      </c>
      <c r="D539" t="inlineStr">
        <is>
          <t>BL722 .M33 1987</t>
        </is>
      </c>
      <c r="E539" t="inlineStr">
        <is>
          <t>0                      BL 0722000M  33          1987</t>
        </is>
      </c>
      <c r="F539" t="inlineStr">
        <is>
          <t>Hellenistic religions : an introduction / Luther H. Martin.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No</t>
        </is>
      </c>
      <c r="L539" t="inlineStr">
        <is>
          <t>0</t>
        </is>
      </c>
      <c r="M539" t="inlineStr">
        <is>
          <t>Martin, Luther H., 1937-</t>
        </is>
      </c>
      <c r="N539" t="inlineStr">
        <is>
          <t>New York : Oxford University Press, 1987.</t>
        </is>
      </c>
      <c r="O539" t="inlineStr">
        <is>
          <t>1987</t>
        </is>
      </c>
      <c r="Q539" t="inlineStr">
        <is>
          <t>eng</t>
        </is>
      </c>
      <c r="R539" t="inlineStr">
        <is>
          <t>nyu</t>
        </is>
      </c>
      <c r="T539" t="inlineStr">
        <is>
          <t xml:space="preserve">BL </t>
        </is>
      </c>
      <c r="U539" t="n">
        <v>5</v>
      </c>
      <c r="V539" t="n">
        <v>5</v>
      </c>
      <c r="W539" t="inlineStr">
        <is>
          <t>2001-02-18</t>
        </is>
      </c>
      <c r="X539" t="inlineStr">
        <is>
          <t>2001-02-18</t>
        </is>
      </c>
      <c r="Y539" t="inlineStr">
        <is>
          <t>1996-05-30</t>
        </is>
      </c>
      <c r="Z539" t="inlineStr">
        <is>
          <t>1996-05-30</t>
        </is>
      </c>
      <c r="AA539" t="n">
        <v>968</v>
      </c>
      <c r="AB539" t="n">
        <v>781</v>
      </c>
      <c r="AC539" t="n">
        <v>787</v>
      </c>
      <c r="AD539" t="n">
        <v>6</v>
      </c>
      <c r="AE539" t="n">
        <v>6</v>
      </c>
      <c r="AF539" t="n">
        <v>44</v>
      </c>
      <c r="AG539" t="n">
        <v>44</v>
      </c>
      <c r="AH539" t="n">
        <v>19</v>
      </c>
      <c r="AI539" t="n">
        <v>19</v>
      </c>
      <c r="AJ539" t="n">
        <v>10</v>
      </c>
      <c r="AK539" t="n">
        <v>10</v>
      </c>
      <c r="AL539" t="n">
        <v>22</v>
      </c>
      <c r="AM539" t="n">
        <v>22</v>
      </c>
      <c r="AN539" t="n">
        <v>5</v>
      </c>
      <c r="AO539" t="n">
        <v>5</v>
      </c>
      <c r="AP539" t="n">
        <v>0</v>
      </c>
      <c r="AQ539" t="n">
        <v>0</v>
      </c>
      <c r="AR539" t="inlineStr">
        <is>
          <t>No</t>
        </is>
      </c>
      <c r="AS539" t="inlineStr">
        <is>
          <t>No</t>
        </is>
      </c>
      <c r="AU539">
        <f>HYPERLINK("https://creighton-primo.hosted.exlibrisgroup.com/primo-explore/search?tab=default_tab&amp;search_scope=EVERYTHING&amp;vid=01CRU&amp;lang=en_US&amp;offset=0&amp;query=any,contains,991000976939702656","Catalog Record")</f>
        <v/>
      </c>
      <c r="AV539">
        <f>HYPERLINK("http://www.worldcat.org/oclc/15016456","WorldCat Record")</f>
        <v/>
      </c>
      <c r="AW539" t="inlineStr">
        <is>
          <t>364530550:eng</t>
        </is>
      </c>
      <c r="AX539" t="inlineStr">
        <is>
          <t>15016456</t>
        </is>
      </c>
      <c r="AY539" t="inlineStr">
        <is>
          <t>991000976939702656</t>
        </is>
      </c>
      <c r="AZ539" t="inlineStr">
        <is>
          <t>991000976939702656</t>
        </is>
      </c>
      <c r="BA539" t="inlineStr">
        <is>
          <t>2264489170002656</t>
        </is>
      </c>
      <c r="BB539" t="inlineStr">
        <is>
          <t>BOOK</t>
        </is>
      </c>
      <c r="BD539" t="inlineStr">
        <is>
          <t>9780195043907</t>
        </is>
      </c>
      <c r="BE539" t="inlineStr">
        <is>
          <t>32285000572593</t>
        </is>
      </c>
      <c r="BF539" t="inlineStr">
        <is>
          <t>893884926</t>
        </is>
      </c>
    </row>
    <row r="540">
      <c r="A540" t="inlineStr">
        <is>
          <t>No</t>
        </is>
      </c>
      <c r="B540" t="inlineStr">
        <is>
          <t>CURAL</t>
        </is>
      </c>
      <c r="C540" t="inlineStr">
        <is>
          <t>SHELVES</t>
        </is>
      </c>
      <c r="D540" t="inlineStr">
        <is>
          <t>BL722 .R4</t>
        </is>
      </c>
      <c r="E540" t="inlineStr">
        <is>
          <t>0                      BL 0722000R  4</t>
        </is>
      </c>
      <c r="F540" t="inlineStr">
        <is>
          <t>Past and present; the continuity of classical myths. Drawings by Anna Held Audette.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No</t>
        </is>
      </c>
      <c r="L540" t="inlineStr">
        <is>
          <t>0</t>
        </is>
      </c>
      <c r="M540" t="inlineStr">
        <is>
          <t>Reinhold, Meyer, 1909-2002.</t>
        </is>
      </c>
      <c r="N540" t="inlineStr">
        <is>
          <t>Toronto, Hakkert, 1972.</t>
        </is>
      </c>
      <c r="O540" t="inlineStr">
        <is>
          <t>1972</t>
        </is>
      </c>
      <c r="Q540" t="inlineStr">
        <is>
          <t>eng</t>
        </is>
      </c>
      <c r="R540" t="inlineStr">
        <is>
          <t>onc</t>
        </is>
      </c>
      <c r="T540" t="inlineStr">
        <is>
          <t xml:space="preserve">BL </t>
        </is>
      </c>
      <c r="U540" t="n">
        <v>5</v>
      </c>
      <c r="V540" t="n">
        <v>5</v>
      </c>
      <c r="W540" t="inlineStr">
        <is>
          <t>2000-03-28</t>
        </is>
      </c>
      <c r="X540" t="inlineStr">
        <is>
          <t>2000-03-28</t>
        </is>
      </c>
      <c r="Y540" t="inlineStr">
        <is>
          <t>1990-10-12</t>
        </is>
      </c>
      <c r="Z540" t="inlineStr">
        <is>
          <t>1990-10-12</t>
        </is>
      </c>
      <c r="AA540" t="n">
        <v>537</v>
      </c>
      <c r="AB540" t="n">
        <v>441</v>
      </c>
      <c r="AC540" t="n">
        <v>449</v>
      </c>
      <c r="AD540" t="n">
        <v>2</v>
      </c>
      <c r="AE540" t="n">
        <v>2</v>
      </c>
      <c r="AF540" t="n">
        <v>19</v>
      </c>
      <c r="AG540" t="n">
        <v>19</v>
      </c>
      <c r="AH540" t="n">
        <v>4</v>
      </c>
      <c r="AI540" t="n">
        <v>4</v>
      </c>
      <c r="AJ540" t="n">
        <v>7</v>
      </c>
      <c r="AK540" t="n">
        <v>7</v>
      </c>
      <c r="AL540" t="n">
        <v>13</v>
      </c>
      <c r="AM540" t="n">
        <v>13</v>
      </c>
      <c r="AN540" t="n">
        <v>1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HYPERLINK("http://catalog.hathitrust.org/Record/001392440","HathiTrust Record")</f>
        <v/>
      </c>
      <c r="AU540">
        <f>HYPERLINK("https://creighton-primo.hosted.exlibrisgroup.com/primo-explore/search?tab=default_tab&amp;search_scope=EVERYTHING&amp;vid=01CRU&amp;lang=en_US&amp;offset=0&amp;query=any,contains,991002821609702656","Catalog Record")</f>
        <v/>
      </c>
      <c r="AV540">
        <f>HYPERLINK("http://www.worldcat.org/oclc/466902","WorldCat Record")</f>
        <v/>
      </c>
      <c r="AW540" t="inlineStr">
        <is>
          <t>197420902:eng</t>
        </is>
      </c>
      <c r="AX540" t="inlineStr">
        <is>
          <t>466902</t>
        </is>
      </c>
      <c r="AY540" t="inlineStr">
        <is>
          <t>991002821609702656</t>
        </is>
      </c>
      <c r="AZ540" t="inlineStr">
        <is>
          <t>991002821609702656</t>
        </is>
      </c>
      <c r="BA540" t="inlineStr">
        <is>
          <t>2263854440002656</t>
        </is>
      </c>
      <c r="BB540" t="inlineStr">
        <is>
          <t>BOOK</t>
        </is>
      </c>
      <c r="BD540" t="inlineStr">
        <is>
          <t>9780888665034</t>
        </is>
      </c>
      <c r="BE540" t="inlineStr">
        <is>
          <t>32285000347145</t>
        </is>
      </c>
      <c r="BF540" t="inlineStr">
        <is>
          <t>893445383</t>
        </is>
      </c>
    </row>
    <row r="541">
      <c r="A541" t="inlineStr">
        <is>
          <t>No</t>
        </is>
      </c>
      <c r="B541" t="inlineStr">
        <is>
          <t>CURAL</t>
        </is>
      </c>
      <c r="C541" t="inlineStr">
        <is>
          <t>SHELVES</t>
        </is>
      </c>
      <c r="D541" t="inlineStr">
        <is>
          <t>BL725 .S15 1940</t>
        </is>
      </c>
      <c r="E541" t="inlineStr">
        <is>
          <t>0                      BL 0725000S  15          1940</t>
        </is>
      </c>
      <c r="F541" t="inlineStr">
        <is>
          <t>Classical myths that live today, by Frances E. Sabin ; Ralph Van Deman Magoffin, classical editor.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Sabin, Frances E. (Frances Ellis), 1870-1943.</t>
        </is>
      </c>
      <c r="N541" t="inlineStr">
        <is>
          <t>New York, Newark, Silver, Burdette and company [1940]</t>
        </is>
      </c>
      <c r="O541" t="inlineStr">
        <is>
          <t>1940</t>
        </is>
      </c>
      <c r="Q541" t="inlineStr">
        <is>
          <t>eng</t>
        </is>
      </c>
      <c r="R541" t="inlineStr">
        <is>
          <t>___</t>
        </is>
      </c>
      <c r="T541" t="inlineStr">
        <is>
          <t xml:space="preserve">BL </t>
        </is>
      </c>
      <c r="U541" t="n">
        <v>4</v>
      </c>
      <c r="V541" t="n">
        <v>4</v>
      </c>
      <c r="W541" t="inlineStr">
        <is>
          <t>1999-02-16</t>
        </is>
      </c>
      <c r="X541" t="inlineStr">
        <is>
          <t>1999-02-16</t>
        </is>
      </c>
      <c r="Y541" t="inlineStr">
        <is>
          <t>1990-10-12</t>
        </is>
      </c>
      <c r="Z541" t="inlineStr">
        <is>
          <t>1990-10-12</t>
        </is>
      </c>
      <c r="AA541" t="n">
        <v>236</v>
      </c>
      <c r="AB541" t="n">
        <v>234</v>
      </c>
      <c r="AC541" t="n">
        <v>694</v>
      </c>
      <c r="AD541" t="n">
        <v>3</v>
      </c>
      <c r="AE541" t="n">
        <v>6</v>
      </c>
      <c r="AF541" t="n">
        <v>6</v>
      </c>
      <c r="AG541" t="n">
        <v>19</v>
      </c>
      <c r="AH541" t="n">
        <v>3</v>
      </c>
      <c r="AI541" t="n">
        <v>8</v>
      </c>
      <c r="AJ541" t="n">
        <v>0</v>
      </c>
      <c r="AK541" t="n">
        <v>1</v>
      </c>
      <c r="AL541" t="n">
        <v>3</v>
      </c>
      <c r="AM541" t="n">
        <v>8</v>
      </c>
      <c r="AN541" t="n">
        <v>1</v>
      </c>
      <c r="AO541" t="n">
        <v>4</v>
      </c>
      <c r="AP541" t="n">
        <v>0</v>
      </c>
      <c r="AQ541" t="n">
        <v>0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HYPERLINK("https://creighton-primo.hosted.exlibrisgroup.com/primo-explore/search?tab=default_tab&amp;search_scope=EVERYTHING&amp;vid=01CRU&amp;lang=en_US&amp;offset=0&amp;query=any,contains,991002710969702656","Catalog Record")</f>
        <v/>
      </c>
      <c r="AV541">
        <f>HYPERLINK("http://www.worldcat.org/oclc/409223","WorldCat Record")</f>
        <v/>
      </c>
      <c r="AW541" t="inlineStr">
        <is>
          <t>572621:eng</t>
        </is>
      </c>
      <c r="AX541" t="inlineStr">
        <is>
          <t>409223</t>
        </is>
      </c>
      <c r="AY541" t="inlineStr">
        <is>
          <t>991002710969702656</t>
        </is>
      </c>
      <c r="AZ541" t="inlineStr">
        <is>
          <t>991002710969702656</t>
        </is>
      </c>
      <c r="BA541" t="inlineStr">
        <is>
          <t>2262168520002656</t>
        </is>
      </c>
      <c r="BB541" t="inlineStr">
        <is>
          <t>BOOK</t>
        </is>
      </c>
      <c r="BE541" t="inlineStr">
        <is>
          <t>32285000347160</t>
        </is>
      </c>
      <c r="BF541" t="inlineStr">
        <is>
          <t>893427917</t>
        </is>
      </c>
    </row>
    <row r="542">
      <c r="A542" t="inlineStr">
        <is>
          <t>No</t>
        </is>
      </c>
      <c r="B542" t="inlineStr">
        <is>
          <t>CURAL</t>
        </is>
      </c>
      <c r="C542" t="inlineStr">
        <is>
          <t>SHELVES</t>
        </is>
      </c>
      <c r="D542" t="inlineStr">
        <is>
          <t>BL727 .E37 1987</t>
        </is>
      </c>
      <c r="E542" t="inlineStr">
        <is>
          <t>0                      BL 0727000E  37          1987</t>
        </is>
      </c>
      <c r="F542" t="inlineStr">
        <is>
          <t>The road to Daulis : psychoanalysis, psychology, and classical mythology / Robert Eisner.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Eisner, Robert, 1945-</t>
        </is>
      </c>
      <c r="N542" t="inlineStr">
        <is>
          <t>Syracuse, N.Y. : Syracuse University Press, 1987.</t>
        </is>
      </c>
      <c r="O542" t="inlineStr">
        <is>
          <t>1987</t>
        </is>
      </c>
      <c r="P542" t="inlineStr">
        <is>
          <t>1st ed.</t>
        </is>
      </c>
      <c r="Q542" t="inlineStr">
        <is>
          <t>eng</t>
        </is>
      </c>
      <c r="R542" t="inlineStr">
        <is>
          <t>nyu</t>
        </is>
      </c>
      <c r="T542" t="inlineStr">
        <is>
          <t xml:space="preserve">BL </t>
        </is>
      </c>
      <c r="U542" t="n">
        <v>1</v>
      </c>
      <c r="V542" t="n">
        <v>1</v>
      </c>
      <c r="W542" t="inlineStr">
        <is>
          <t>2005-12-02</t>
        </is>
      </c>
      <c r="X542" t="inlineStr">
        <is>
          <t>2005-12-02</t>
        </is>
      </c>
      <c r="Y542" t="inlineStr">
        <is>
          <t>1990-10-12</t>
        </is>
      </c>
      <c r="Z542" t="inlineStr">
        <is>
          <t>1990-10-12</t>
        </is>
      </c>
      <c r="AA542" t="n">
        <v>433</v>
      </c>
      <c r="AB542" t="n">
        <v>373</v>
      </c>
      <c r="AC542" t="n">
        <v>379</v>
      </c>
      <c r="AD542" t="n">
        <v>4</v>
      </c>
      <c r="AE542" t="n">
        <v>4</v>
      </c>
      <c r="AF542" t="n">
        <v>22</v>
      </c>
      <c r="AG542" t="n">
        <v>22</v>
      </c>
      <c r="AH542" t="n">
        <v>8</v>
      </c>
      <c r="AI542" t="n">
        <v>8</v>
      </c>
      <c r="AJ542" t="n">
        <v>4</v>
      </c>
      <c r="AK542" t="n">
        <v>4</v>
      </c>
      <c r="AL542" t="n">
        <v>15</v>
      </c>
      <c r="AM542" t="n">
        <v>15</v>
      </c>
      <c r="AN542" t="n">
        <v>3</v>
      </c>
      <c r="AO542" t="n">
        <v>3</v>
      </c>
      <c r="AP542" t="n">
        <v>0</v>
      </c>
      <c r="AQ542" t="n">
        <v>0</v>
      </c>
      <c r="AR542" t="inlineStr">
        <is>
          <t>No</t>
        </is>
      </c>
      <c r="AS542" t="inlineStr">
        <is>
          <t>Yes</t>
        </is>
      </c>
      <c r="AT542">
        <f>HYPERLINK("http://catalog.hathitrust.org/Record/000822746","HathiTrust Record")</f>
        <v/>
      </c>
      <c r="AU542">
        <f>HYPERLINK("https://creighton-primo.hosted.exlibrisgroup.com/primo-explore/search?tab=default_tab&amp;search_scope=EVERYTHING&amp;vid=01CRU&amp;lang=en_US&amp;offset=0&amp;query=any,contains,991000991619702656","Catalog Record")</f>
        <v/>
      </c>
      <c r="AV542">
        <f>HYPERLINK("http://www.worldcat.org/oclc/15108407","WorldCat Record")</f>
        <v/>
      </c>
      <c r="AW542" t="inlineStr">
        <is>
          <t>8371035:eng</t>
        </is>
      </c>
      <c r="AX542" t="inlineStr">
        <is>
          <t>15108407</t>
        </is>
      </c>
      <c r="AY542" t="inlineStr">
        <is>
          <t>991000991619702656</t>
        </is>
      </c>
      <c r="AZ542" t="inlineStr">
        <is>
          <t>991000991619702656</t>
        </is>
      </c>
      <c r="BA542" t="inlineStr">
        <is>
          <t>2267479010002656</t>
        </is>
      </c>
      <c r="BB542" t="inlineStr">
        <is>
          <t>BOOK</t>
        </is>
      </c>
      <c r="BD542" t="inlineStr">
        <is>
          <t>9780815602101</t>
        </is>
      </c>
      <c r="BE542" t="inlineStr">
        <is>
          <t>32285000347194</t>
        </is>
      </c>
      <c r="BF542" t="inlineStr">
        <is>
          <t>893327772</t>
        </is>
      </c>
    </row>
    <row r="543">
      <c r="A543" t="inlineStr">
        <is>
          <t>No</t>
        </is>
      </c>
      <c r="B543" t="inlineStr">
        <is>
          <t>CURAL</t>
        </is>
      </c>
      <c r="C543" t="inlineStr">
        <is>
          <t>SHELVES</t>
        </is>
      </c>
      <c r="D543" t="inlineStr">
        <is>
          <t>BL74 .E18</t>
        </is>
      </c>
      <c r="E543" t="inlineStr">
        <is>
          <t>0                      BL 0074000E  18</t>
        </is>
      </c>
      <c r="F543" t="inlineStr">
        <is>
          <t>The ways of religion / edited by Roger Eastman.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Eastman, Roger, compiler.</t>
        </is>
      </c>
      <c r="N543" t="inlineStr">
        <is>
          <t>San Francisco : Canfield Press, [1975]</t>
        </is>
      </c>
      <c r="O543" t="inlineStr">
        <is>
          <t>1975</t>
        </is>
      </c>
      <c r="Q543" t="inlineStr">
        <is>
          <t>eng</t>
        </is>
      </c>
      <c r="R543" t="inlineStr">
        <is>
          <t>cau</t>
        </is>
      </c>
      <c r="T543" t="inlineStr">
        <is>
          <t xml:space="preserve">BL </t>
        </is>
      </c>
      <c r="U543" t="n">
        <v>5</v>
      </c>
      <c r="V543" t="n">
        <v>5</v>
      </c>
      <c r="W543" t="inlineStr">
        <is>
          <t>2000-04-26</t>
        </is>
      </c>
      <c r="X543" t="inlineStr">
        <is>
          <t>2000-04-26</t>
        </is>
      </c>
      <c r="Y543" t="inlineStr">
        <is>
          <t>1990-09-28</t>
        </is>
      </c>
      <c r="Z543" t="inlineStr">
        <is>
          <t>1990-09-28</t>
        </is>
      </c>
      <c r="AA543" t="n">
        <v>229</v>
      </c>
      <c r="AB543" t="n">
        <v>183</v>
      </c>
      <c r="AC543" t="n">
        <v>203</v>
      </c>
      <c r="AD543" t="n">
        <v>2</v>
      </c>
      <c r="AE543" t="n">
        <v>2</v>
      </c>
      <c r="AF543" t="n">
        <v>7</v>
      </c>
      <c r="AG543" t="n">
        <v>9</v>
      </c>
      <c r="AH543" t="n">
        <v>2</v>
      </c>
      <c r="AI543" t="n">
        <v>3</v>
      </c>
      <c r="AJ543" t="n">
        <v>1</v>
      </c>
      <c r="AK543" t="n">
        <v>2</v>
      </c>
      <c r="AL543" t="n">
        <v>5</v>
      </c>
      <c r="AM543" t="n">
        <v>5</v>
      </c>
      <c r="AN543" t="n">
        <v>1</v>
      </c>
      <c r="AO543" t="n">
        <v>1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HYPERLINK("http://catalog.hathitrust.org/Record/009815518","HathiTrust Record")</f>
        <v/>
      </c>
      <c r="AU543">
        <f>HYPERLINK("https://creighton-primo.hosted.exlibrisgroup.com/primo-explore/search?tab=default_tab&amp;search_scope=EVERYTHING&amp;vid=01CRU&amp;lang=en_US&amp;offset=0&amp;query=any,contains,991003545809702656","Catalog Record")</f>
        <v/>
      </c>
      <c r="AV543">
        <f>HYPERLINK("http://www.worldcat.org/oclc/1111473","WorldCat Record")</f>
        <v/>
      </c>
      <c r="AW543" t="inlineStr">
        <is>
          <t>9490265649:eng</t>
        </is>
      </c>
      <c r="AX543" t="inlineStr">
        <is>
          <t>1111473</t>
        </is>
      </c>
      <c r="AY543" t="inlineStr">
        <is>
          <t>991003545809702656</t>
        </is>
      </c>
      <c r="AZ543" t="inlineStr">
        <is>
          <t>991003545809702656</t>
        </is>
      </c>
      <c r="BA543" t="inlineStr">
        <is>
          <t>2269661930002656</t>
        </is>
      </c>
      <c r="BB543" t="inlineStr">
        <is>
          <t>BOOK</t>
        </is>
      </c>
      <c r="BD543" t="inlineStr">
        <is>
          <t>9780063825956</t>
        </is>
      </c>
      <c r="BE543" t="inlineStr">
        <is>
          <t>32285000324359</t>
        </is>
      </c>
      <c r="BF543" t="inlineStr">
        <is>
          <t>893512064</t>
        </is>
      </c>
    </row>
    <row r="544">
      <c r="A544" t="inlineStr">
        <is>
          <t>No</t>
        </is>
      </c>
      <c r="B544" t="inlineStr">
        <is>
          <t>CURAL</t>
        </is>
      </c>
      <c r="C544" t="inlineStr">
        <is>
          <t>SHELVES</t>
        </is>
      </c>
      <c r="D544" t="inlineStr">
        <is>
          <t>BL74 .E45 1967</t>
        </is>
      </c>
      <c r="E544" t="inlineStr">
        <is>
          <t>0                      BL 0074000E  45          1967</t>
        </is>
      </c>
      <c r="F544" t="inlineStr">
        <is>
          <t>From primitives to Zen; a thematic sourcebook of the history of religions.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M544" t="inlineStr">
        <is>
          <t>Eliade, Mircea, 1907-1986.</t>
        </is>
      </c>
      <c r="N544" t="inlineStr">
        <is>
          <t>New York, Harper &amp; Row [1967]</t>
        </is>
      </c>
      <c r="O544" t="inlineStr">
        <is>
          <t>1967</t>
        </is>
      </c>
      <c r="P544" t="inlineStr">
        <is>
          <t>[1st U.S. ed.]</t>
        </is>
      </c>
      <c r="Q544" t="inlineStr">
        <is>
          <t>eng</t>
        </is>
      </c>
      <c r="R544" t="inlineStr">
        <is>
          <t>nyu</t>
        </is>
      </c>
      <c r="T544" t="inlineStr">
        <is>
          <t xml:space="preserve">BL </t>
        </is>
      </c>
      <c r="U544" t="n">
        <v>5</v>
      </c>
      <c r="V544" t="n">
        <v>5</v>
      </c>
      <c r="W544" t="inlineStr">
        <is>
          <t>1998-09-13</t>
        </is>
      </c>
      <c r="X544" t="inlineStr">
        <is>
          <t>1998-09-13</t>
        </is>
      </c>
      <c r="Y544" t="inlineStr">
        <is>
          <t>1990-09-28</t>
        </is>
      </c>
      <c r="Z544" t="inlineStr">
        <is>
          <t>1990-09-28</t>
        </is>
      </c>
      <c r="AA544" t="n">
        <v>1274</v>
      </c>
      <c r="AB544" t="n">
        <v>1187</v>
      </c>
      <c r="AC544" t="n">
        <v>1357</v>
      </c>
      <c r="AD544" t="n">
        <v>10</v>
      </c>
      <c r="AE544" t="n">
        <v>11</v>
      </c>
      <c r="AF544" t="n">
        <v>44</v>
      </c>
      <c r="AG544" t="n">
        <v>49</v>
      </c>
      <c r="AH544" t="n">
        <v>19</v>
      </c>
      <c r="AI544" t="n">
        <v>22</v>
      </c>
      <c r="AJ544" t="n">
        <v>7</v>
      </c>
      <c r="AK544" t="n">
        <v>8</v>
      </c>
      <c r="AL544" t="n">
        <v>19</v>
      </c>
      <c r="AM544" t="n">
        <v>19</v>
      </c>
      <c r="AN544" t="n">
        <v>8</v>
      </c>
      <c r="AO544" t="n">
        <v>9</v>
      </c>
      <c r="AP544" t="n">
        <v>0</v>
      </c>
      <c r="AQ544" t="n">
        <v>0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HYPERLINK("https://creighton-primo.hosted.exlibrisgroup.com/primo-explore/search?tab=default_tab&amp;search_scope=EVERYTHING&amp;vid=01CRU&amp;lang=en_US&amp;offset=0&amp;query=any,contains,991002402869702656","Catalog Record")</f>
        <v/>
      </c>
      <c r="AV544">
        <f>HYPERLINK("http://www.worldcat.org/oclc/337659","WorldCat Record")</f>
        <v/>
      </c>
      <c r="AW544" t="inlineStr">
        <is>
          <t>836681282:eng</t>
        </is>
      </c>
      <c r="AX544" t="inlineStr">
        <is>
          <t>337659</t>
        </is>
      </c>
      <c r="AY544" t="inlineStr">
        <is>
          <t>991002402869702656</t>
        </is>
      </c>
      <c r="AZ544" t="inlineStr">
        <is>
          <t>991002402869702656</t>
        </is>
      </c>
      <c r="BA544" t="inlineStr">
        <is>
          <t>2255710010002656</t>
        </is>
      </c>
      <c r="BB544" t="inlineStr">
        <is>
          <t>BOOK</t>
        </is>
      </c>
      <c r="BE544" t="inlineStr">
        <is>
          <t>32285000324367</t>
        </is>
      </c>
      <c r="BF544" t="inlineStr">
        <is>
          <t>893251167</t>
        </is>
      </c>
    </row>
    <row r="545">
      <c r="A545" t="inlineStr">
        <is>
          <t>No</t>
        </is>
      </c>
      <c r="B545" t="inlineStr">
        <is>
          <t>CURAL</t>
        </is>
      </c>
      <c r="C545" t="inlineStr">
        <is>
          <t>SHELVES</t>
        </is>
      </c>
      <c r="D545" t="inlineStr">
        <is>
          <t>BL74 .Q8 1925</t>
        </is>
      </c>
      <c r="E545" t="inlineStr">
        <is>
          <t>0                      BL 0074000Q  8           1925</t>
        </is>
      </c>
      <c r="F545" t="inlineStr">
        <is>
          <t>Ginz♯¿, der Schatz : oder das Grosse buch der Mand¿́¿¿́Ư℗♭¿̐ưer / ¿́¿¿́Ư℗Ł¿¿bersetzt und erkl¿́¿¿́Ư℗♭¿̐ưrt von Mark Lidzbarski.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Ginzā.</t>
        </is>
      </c>
      <c r="N545" t="inlineStr">
        <is>
          <t>G©œttingen : Vandenhoeck &amp; Ruprecht ; Leipzig : J. C. Hinrichs, 1925.</t>
        </is>
      </c>
      <c r="O545" t="inlineStr">
        <is>
          <t>1925</t>
        </is>
      </c>
      <c r="Q545" t="inlineStr">
        <is>
          <t>ger</t>
        </is>
      </c>
      <c r="R545" t="inlineStr">
        <is>
          <t xml:space="preserve">gw </t>
        </is>
      </c>
      <c r="S545" t="inlineStr">
        <is>
          <t>Quellen der Religionsgeschichte. Gruppe 4, Gnostizismus einschliesslich mand©Þische Religion</t>
        </is>
      </c>
      <c r="T545" t="inlineStr">
        <is>
          <t xml:space="preserve">BL </t>
        </is>
      </c>
      <c r="U545" t="n">
        <v>0</v>
      </c>
      <c r="V545" t="n">
        <v>0</v>
      </c>
      <c r="W545" t="inlineStr">
        <is>
          <t>2008-04-18</t>
        </is>
      </c>
      <c r="X545" t="inlineStr">
        <is>
          <t>2008-04-18</t>
        </is>
      </c>
      <c r="Y545" t="inlineStr">
        <is>
          <t>2000-04-11</t>
        </is>
      </c>
      <c r="Z545" t="inlineStr">
        <is>
          <t>2000-04-11</t>
        </is>
      </c>
      <c r="AA545" t="n">
        <v>113</v>
      </c>
      <c r="AB545" t="n">
        <v>72</v>
      </c>
      <c r="AC545" t="n">
        <v>84</v>
      </c>
      <c r="AD545" t="n">
        <v>1</v>
      </c>
      <c r="AE545" t="n">
        <v>2</v>
      </c>
      <c r="AF545" t="n">
        <v>1</v>
      </c>
      <c r="AG545" t="n">
        <v>3</v>
      </c>
      <c r="AH545" t="n">
        <v>0</v>
      </c>
      <c r="AI545" t="n">
        <v>0</v>
      </c>
      <c r="AJ545" t="n">
        <v>0</v>
      </c>
      <c r="AK545" t="n">
        <v>1</v>
      </c>
      <c r="AL545" t="n">
        <v>1</v>
      </c>
      <c r="AM545" t="n">
        <v>2</v>
      </c>
      <c r="AN545" t="n">
        <v>0</v>
      </c>
      <c r="AO545" t="n">
        <v>1</v>
      </c>
      <c r="AP545" t="n">
        <v>0</v>
      </c>
      <c r="AQ545" t="n">
        <v>0</v>
      </c>
      <c r="AR545" t="inlineStr">
        <is>
          <t>No</t>
        </is>
      </c>
      <c r="AS545" t="inlineStr">
        <is>
          <t>No</t>
        </is>
      </c>
      <c r="AU545">
        <f>HYPERLINK("https://creighton-primo.hosted.exlibrisgroup.com/primo-explore/search?tab=default_tab&amp;search_scope=EVERYTHING&amp;vid=01CRU&amp;lang=en_US&amp;offset=0&amp;query=any,contains,991004223719702656","Catalog Record")</f>
        <v/>
      </c>
      <c r="AV545">
        <f>HYPERLINK("http://www.worldcat.org/oclc/2721427","WorldCat Record")</f>
        <v/>
      </c>
      <c r="AW545" t="inlineStr">
        <is>
          <t>5935198:ger</t>
        </is>
      </c>
      <c r="AX545" t="inlineStr">
        <is>
          <t>2721427</t>
        </is>
      </c>
      <c r="AY545" t="inlineStr">
        <is>
          <t>991004223719702656</t>
        </is>
      </c>
      <c r="AZ545" t="inlineStr">
        <is>
          <t>991004223719702656</t>
        </is>
      </c>
      <c r="BA545" t="inlineStr">
        <is>
          <t>2258630910002656</t>
        </is>
      </c>
      <c r="BB545" t="inlineStr">
        <is>
          <t>BOOK</t>
        </is>
      </c>
      <c r="BE545" t="inlineStr">
        <is>
          <t>32285003676102</t>
        </is>
      </c>
      <c r="BF545" t="inlineStr">
        <is>
          <t>893343594</t>
        </is>
      </c>
    </row>
    <row r="546">
      <c r="A546" t="inlineStr">
        <is>
          <t>No</t>
        </is>
      </c>
      <c r="B546" t="inlineStr">
        <is>
          <t>CURAL</t>
        </is>
      </c>
      <c r="C546" t="inlineStr">
        <is>
          <t>SHELVES</t>
        </is>
      </c>
      <c r="D546" t="inlineStr">
        <is>
          <t>BL74 .W52</t>
        </is>
      </c>
      <c r="E546" t="inlineStr">
        <is>
          <t>0                      BL 0074000W  52</t>
        </is>
      </c>
      <c r="F546" t="inlineStr">
        <is>
          <t>The edge of wisdom : a source book of religious and secular writers / Robert S. Wicks.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0</t>
        </is>
      </c>
      <c r="M546" t="inlineStr">
        <is>
          <t>Wicks, Robert S. editor.</t>
        </is>
      </c>
      <c r="N546" t="inlineStr">
        <is>
          <t>New York : Scribner, 1964.</t>
        </is>
      </c>
      <c r="O546" t="inlineStr">
        <is>
          <t>1964</t>
        </is>
      </c>
      <c r="Q546" t="inlineStr">
        <is>
          <t>eng</t>
        </is>
      </c>
      <c r="R546" t="inlineStr">
        <is>
          <t>nyu</t>
        </is>
      </c>
      <c r="T546" t="inlineStr">
        <is>
          <t xml:space="preserve">BL </t>
        </is>
      </c>
      <c r="U546" t="n">
        <v>2</v>
      </c>
      <c r="V546" t="n">
        <v>2</v>
      </c>
      <c r="W546" t="inlineStr">
        <is>
          <t>1995-04-09</t>
        </is>
      </c>
      <c r="X546" t="inlineStr">
        <is>
          <t>1995-04-09</t>
        </is>
      </c>
      <c r="Y546" t="inlineStr">
        <is>
          <t>1990-09-28</t>
        </is>
      </c>
      <c r="Z546" t="inlineStr">
        <is>
          <t>1990-09-28</t>
        </is>
      </c>
      <c r="AA546" t="n">
        <v>298</v>
      </c>
      <c r="AB546" t="n">
        <v>268</v>
      </c>
      <c r="AC546" t="n">
        <v>273</v>
      </c>
      <c r="AD546" t="n">
        <v>2</v>
      </c>
      <c r="AE546" t="n">
        <v>2</v>
      </c>
      <c r="AF546" t="n">
        <v>18</v>
      </c>
      <c r="AG546" t="n">
        <v>18</v>
      </c>
      <c r="AH546" t="n">
        <v>7</v>
      </c>
      <c r="AI546" t="n">
        <v>7</v>
      </c>
      <c r="AJ546" t="n">
        <v>3</v>
      </c>
      <c r="AK546" t="n">
        <v>3</v>
      </c>
      <c r="AL546" t="n">
        <v>11</v>
      </c>
      <c r="AM546" t="n">
        <v>11</v>
      </c>
      <c r="AN546" t="n">
        <v>1</v>
      </c>
      <c r="AO546" t="n">
        <v>1</v>
      </c>
      <c r="AP546" t="n">
        <v>0</v>
      </c>
      <c r="AQ546" t="n">
        <v>0</v>
      </c>
      <c r="AR546" t="inlineStr">
        <is>
          <t>No</t>
        </is>
      </c>
      <c r="AS546" t="inlineStr">
        <is>
          <t>No</t>
        </is>
      </c>
      <c r="AU546">
        <f>HYPERLINK("https://creighton-primo.hosted.exlibrisgroup.com/primo-explore/search?tab=default_tab&amp;search_scope=EVERYTHING&amp;vid=01CRU&amp;lang=en_US&amp;offset=0&amp;query=any,contains,991004047729702656","Catalog Record")</f>
        <v/>
      </c>
      <c r="AV546">
        <f>HYPERLINK("http://www.worldcat.org/oclc/2204198","WorldCat Record")</f>
        <v/>
      </c>
      <c r="AW546" t="inlineStr">
        <is>
          <t>3843795:eng</t>
        </is>
      </c>
      <c r="AX546" t="inlineStr">
        <is>
          <t>2204198</t>
        </is>
      </c>
      <c r="AY546" t="inlineStr">
        <is>
          <t>991004047729702656</t>
        </is>
      </c>
      <c r="AZ546" t="inlineStr">
        <is>
          <t>991004047729702656</t>
        </is>
      </c>
      <c r="BA546" t="inlineStr">
        <is>
          <t>2259642890002656</t>
        </is>
      </c>
      <c r="BB546" t="inlineStr">
        <is>
          <t>BOOK</t>
        </is>
      </c>
      <c r="BE546" t="inlineStr">
        <is>
          <t>32285000324375</t>
        </is>
      </c>
      <c r="BF546" t="inlineStr">
        <is>
          <t>893240957</t>
        </is>
      </c>
    </row>
    <row r="547">
      <c r="A547" t="inlineStr">
        <is>
          <t>No</t>
        </is>
      </c>
      <c r="B547" t="inlineStr">
        <is>
          <t>CURAL</t>
        </is>
      </c>
      <c r="C547" t="inlineStr">
        <is>
          <t>SHELVES</t>
        </is>
      </c>
      <c r="D547" t="inlineStr">
        <is>
          <t>BL781 .F43 1974</t>
        </is>
      </c>
      <c r="E547" t="inlineStr">
        <is>
          <t>0                      BL 0781000F  43          1974</t>
        </is>
      </c>
      <c r="F547" t="inlineStr">
        <is>
          <t>Outline-history of Greek religion / by Lewis Richard Farnell.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Farnell, Lewis Richard, 1856-1934.</t>
        </is>
      </c>
      <c r="N547" t="inlineStr">
        <is>
          <t>Chicago : Ares Publishers, 1974.</t>
        </is>
      </c>
      <c r="O547" t="inlineStr">
        <is>
          <t>1974</t>
        </is>
      </c>
      <c r="Q547" t="inlineStr">
        <is>
          <t>eng</t>
        </is>
      </c>
      <c r="R547" t="inlineStr">
        <is>
          <t>ilu</t>
        </is>
      </c>
      <c r="T547" t="inlineStr">
        <is>
          <t xml:space="preserve">BL </t>
        </is>
      </c>
      <c r="U547" t="n">
        <v>3</v>
      </c>
      <c r="V547" t="n">
        <v>3</v>
      </c>
      <c r="W547" t="inlineStr">
        <is>
          <t>2001-08-23</t>
        </is>
      </c>
      <c r="X547" t="inlineStr">
        <is>
          <t>2001-08-23</t>
        </is>
      </c>
      <c r="Y547" t="inlineStr">
        <is>
          <t>2001-08-23</t>
        </is>
      </c>
      <c r="Z547" t="inlineStr">
        <is>
          <t>2001-08-23</t>
        </is>
      </c>
      <c r="AA547" t="n">
        <v>277</v>
      </c>
      <c r="AB547" t="n">
        <v>238</v>
      </c>
      <c r="AC547" t="n">
        <v>319</v>
      </c>
      <c r="AD547" t="n">
        <v>4</v>
      </c>
      <c r="AE547" t="n">
        <v>4</v>
      </c>
      <c r="AF547" t="n">
        <v>18</v>
      </c>
      <c r="AG547" t="n">
        <v>19</v>
      </c>
      <c r="AH547" t="n">
        <v>6</v>
      </c>
      <c r="AI547" t="n">
        <v>6</v>
      </c>
      <c r="AJ547" t="n">
        <v>3</v>
      </c>
      <c r="AK547" t="n">
        <v>4</v>
      </c>
      <c r="AL547" t="n">
        <v>10</v>
      </c>
      <c r="AM547" t="n">
        <v>10</v>
      </c>
      <c r="AN547" t="n">
        <v>3</v>
      </c>
      <c r="AO547" t="n">
        <v>3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HYPERLINK("http://catalog.hathitrust.org/Record/102373836","HathiTrust Record")</f>
        <v/>
      </c>
      <c r="AU547">
        <f>HYPERLINK("https://creighton-primo.hosted.exlibrisgroup.com/primo-explore/search?tab=default_tab&amp;search_scope=EVERYTHING&amp;vid=01CRU&amp;lang=en_US&amp;offset=0&amp;query=any,contains,991003606999702656","Catalog Record")</f>
        <v/>
      </c>
      <c r="AV547">
        <f>HYPERLINK("http://www.worldcat.org/oclc/1217536","WorldCat Record")</f>
        <v/>
      </c>
      <c r="AW547" t="inlineStr">
        <is>
          <t>2109931:eng</t>
        </is>
      </c>
      <c r="AX547" t="inlineStr">
        <is>
          <t>1217536</t>
        </is>
      </c>
      <c r="AY547" t="inlineStr">
        <is>
          <t>991003606999702656</t>
        </is>
      </c>
      <c r="AZ547" t="inlineStr">
        <is>
          <t>991003606999702656</t>
        </is>
      </c>
      <c r="BA547" t="inlineStr">
        <is>
          <t>2272274600002656</t>
        </is>
      </c>
      <c r="BB547" t="inlineStr">
        <is>
          <t>BOOK</t>
        </is>
      </c>
      <c r="BD547" t="inlineStr">
        <is>
          <t>9780890050255</t>
        </is>
      </c>
      <c r="BE547" t="inlineStr">
        <is>
          <t>32285004380225</t>
        </is>
      </c>
      <c r="BF547" t="inlineStr">
        <is>
          <t>893868619</t>
        </is>
      </c>
    </row>
    <row r="548">
      <c r="A548" t="inlineStr">
        <is>
          <t>No</t>
        </is>
      </c>
      <c r="B548" t="inlineStr">
        <is>
          <t>CURAL</t>
        </is>
      </c>
      <c r="C548" t="inlineStr">
        <is>
          <t>SHELVES</t>
        </is>
      </c>
      <c r="D548" t="inlineStr">
        <is>
          <t>BL781 .M6 1925</t>
        </is>
      </c>
      <c r="E548" t="inlineStr">
        <is>
          <t>0                      BL 0781000M  6           1925</t>
        </is>
      </c>
      <c r="F548" t="inlineStr">
        <is>
          <t>The religious thought of the Greeks, from Homer to the triumph of Christianity, by Clifford Herschel Moore.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Moore, Clifford Herschel, 1866-1931.</t>
        </is>
      </c>
      <c r="N548" t="inlineStr">
        <is>
          <t>Cambridge [Mass.] Harvard University Press, 1925.</t>
        </is>
      </c>
      <c r="O548" t="inlineStr">
        <is>
          <t>1925</t>
        </is>
      </c>
      <c r="P548" t="inlineStr">
        <is>
          <t>2d ed.</t>
        </is>
      </c>
      <c r="Q548" t="inlineStr">
        <is>
          <t>eng</t>
        </is>
      </c>
      <c r="R548" t="inlineStr">
        <is>
          <t>___</t>
        </is>
      </c>
      <c r="T548" t="inlineStr">
        <is>
          <t xml:space="preserve">BL </t>
        </is>
      </c>
      <c r="U548" t="n">
        <v>10</v>
      </c>
      <c r="V548" t="n">
        <v>10</v>
      </c>
      <c r="W548" t="inlineStr">
        <is>
          <t>2008-02-28</t>
        </is>
      </c>
      <c r="X548" t="inlineStr">
        <is>
          <t>2008-02-28</t>
        </is>
      </c>
      <c r="Y548" t="inlineStr">
        <is>
          <t>1990-10-15</t>
        </is>
      </c>
      <c r="Z548" t="inlineStr">
        <is>
          <t>1990-10-15</t>
        </is>
      </c>
      <c r="AA548" t="n">
        <v>211</v>
      </c>
      <c r="AB548" t="n">
        <v>187</v>
      </c>
      <c r="AC548" t="n">
        <v>509</v>
      </c>
      <c r="AD548" t="n">
        <v>2</v>
      </c>
      <c r="AE548" t="n">
        <v>5</v>
      </c>
      <c r="AF548" t="n">
        <v>11</v>
      </c>
      <c r="AG548" t="n">
        <v>26</v>
      </c>
      <c r="AH548" t="n">
        <v>4</v>
      </c>
      <c r="AI548" t="n">
        <v>8</v>
      </c>
      <c r="AJ548" t="n">
        <v>3</v>
      </c>
      <c r="AK548" t="n">
        <v>6</v>
      </c>
      <c r="AL548" t="n">
        <v>5</v>
      </c>
      <c r="AM548" t="n">
        <v>12</v>
      </c>
      <c r="AN548" t="n">
        <v>1</v>
      </c>
      <c r="AO548" t="n">
        <v>4</v>
      </c>
      <c r="AP548" t="n">
        <v>0</v>
      </c>
      <c r="AQ548" t="n">
        <v>0</v>
      </c>
      <c r="AR548" t="inlineStr">
        <is>
          <t>No</t>
        </is>
      </c>
      <c r="AS548" t="inlineStr">
        <is>
          <t>No</t>
        </is>
      </c>
      <c r="AU548">
        <f>HYPERLINK("https://creighton-primo.hosted.exlibrisgroup.com/primo-explore/search?tab=default_tab&amp;search_scope=EVERYTHING&amp;vid=01CRU&amp;lang=en_US&amp;offset=0&amp;query=any,contains,991003578839702656","Catalog Record")</f>
        <v/>
      </c>
      <c r="AV548">
        <f>HYPERLINK("http://www.worldcat.org/oclc/1159405","WorldCat Record")</f>
        <v/>
      </c>
      <c r="AW548" t="inlineStr">
        <is>
          <t>2093109:eng</t>
        </is>
      </c>
      <c r="AX548" t="inlineStr">
        <is>
          <t>1159405</t>
        </is>
      </c>
      <c r="AY548" t="inlineStr">
        <is>
          <t>991003578839702656</t>
        </is>
      </c>
      <c r="AZ548" t="inlineStr">
        <is>
          <t>991003578839702656</t>
        </is>
      </c>
      <c r="BA548" t="inlineStr">
        <is>
          <t>2262266840002656</t>
        </is>
      </c>
      <c r="BB548" t="inlineStr">
        <is>
          <t>BOOK</t>
        </is>
      </c>
      <c r="BE548" t="inlineStr">
        <is>
          <t>32285000347921</t>
        </is>
      </c>
      <c r="BF548" t="inlineStr">
        <is>
          <t>893348832</t>
        </is>
      </c>
    </row>
    <row r="549">
      <c r="A549" t="inlineStr">
        <is>
          <t>No</t>
        </is>
      </c>
      <c r="B549" t="inlineStr">
        <is>
          <t>CURAL</t>
        </is>
      </c>
      <c r="C549" t="inlineStr">
        <is>
          <t>SHELVES</t>
        </is>
      </c>
      <c r="D549" t="inlineStr">
        <is>
          <t>BL782 .P6 1967</t>
        </is>
      </c>
      <c r="E549" t="inlineStr">
        <is>
          <t>0                      BL 0782000P  6           1967</t>
        </is>
      </c>
      <c r="F549" t="inlineStr">
        <is>
          <t>Seers, shrines, and sirens; the Greek religious revolution in the sixth century B.C.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Pollard, John, 1914-</t>
        </is>
      </c>
      <c r="N549" t="inlineStr">
        <is>
          <t>South Brunswick [N.J.] A. S. Barnes [1967, c1965]</t>
        </is>
      </c>
      <c r="O549" t="inlineStr">
        <is>
          <t>1967</t>
        </is>
      </c>
      <c r="Q549" t="inlineStr">
        <is>
          <t>eng</t>
        </is>
      </c>
      <c r="R549" t="inlineStr">
        <is>
          <t>nju</t>
        </is>
      </c>
      <c r="T549" t="inlineStr">
        <is>
          <t xml:space="preserve">BL </t>
        </is>
      </c>
      <c r="U549" t="n">
        <v>5</v>
      </c>
      <c r="V549" t="n">
        <v>5</v>
      </c>
      <c r="W549" t="inlineStr">
        <is>
          <t>2002-10-21</t>
        </is>
      </c>
      <c r="X549" t="inlineStr">
        <is>
          <t>2002-10-21</t>
        </is>
      </c>
      <c r="Y549" t="inlineStr">
        <is>
          <t>1990-10-15</t>
        </is>
      </c>
      <c r="Z549" t="inlineStr">
        <is>
          <t>1990-10-15</t>
        </is>
      </c>
      <c r="AA549" t="n">
        <v>166</v>
      </c>
      <c r="AB549" t="n">
        <v>159</v>
      </c>
      <c r="AC549" t="n">
        <v>368</v>
      </c>
      <c r="AD549" t="n">
        <v>2</v>
      </c>
      <c r="AE549" t="n">
        <v>2</v>
      </c>
      <c r="AF549" t="n">
        <v>12</v>
      </c>
      <c r="AG549" t="n">
        <v>21</v>
      </c>
      <c r="AH549" t="n">
        <v>4</v>
      </c>
      <c r="AI549" t="n">
        <v>8</v>
      </c>
      <c r="AJ549" t="n">
        <v>4</v>
      </c>
      <c r="AK549" t="n">
        <v>6</v>
      </c>
      <c r="AL549" t="n">
        <v>6</v>
      </c>
      <c r="AM549" t="n">
        <v>12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Yes</t>
        </is>
      </c>
      <c r="AT549">
        <f>HYPERLINK("http://catalog.hathitrust.org/Record/009905014","HathiTrust Record")</f>
        <v/>
      </c>
      <c r="AU549">
        <f>HYPERLINK("https://creighton-primo.hosted.exlibrisgroup.com/primo-explore/search?tab=default_tab&amp;search_scope=EVERYTHING&amp;vid=01CRU&amp;lang=en_US&amp;offset=0&amp;query=any,contains,991003032049702656","Catalog Record")</f>
        <v/>
      </c>
      <c r="AV549">
        <f>HYPERLINK("http://www.worldcat.org/oclc/594999","WorldCat Record")</f>
        <v/>
      </c>
      <c r="AW549" t="inlineStr">
        <is>
          <t>366624720:eng</t>
        </is>
      </c>
      <c r="AX549" t="inlineStr">
        <is>
          <t>594999</t>
        </is>
      </c>
      <c r="AY549" t="inlineStr">
        <is>
          <t>991003032049702656</t>
        </is>
      </c>
      <c r="AZ549" t="inlineStr">
        <is>
          <t>991003032049702656</t>
        </is>
      </c>
      <c r="BA549" t="inlineStr">
        <is>
          <t>2269936720002656</t>
        </is>
      </c>
      <c r="BB549" t="inlineStr">
        <is>
          <t>BOOK</t>
        </is>
      </c>
      <c r="BE549" t="inlineStr">
        <is>
          <t>32285000348036</t>
        </is>
      </c>
      <c r="BF549" t="inlineStr">
        <is>
          <t>893498873</t>
        </is>
      </c>
    </row>
    <row r="550">
      <c r="A550" t="inlineStr">
        <is>
          <t>No</t>
        </is>
      </c>
      <c r="B550" t="inlineStr">
        <is>
          <t>CURAL</t>
        </is>
      </c>
      <c r="C550" t="inlineStr">
        <is>
          <t>SHELVES</t>
        </is>
      </c>
      <c r="D550" t="inlineStr">
        <is>
          <t>BL782 .W36</t>
        </is>
      </c>
      <c r="E550" t="inlineStr">
        <is>
          <t>0                      BL 0782000W  36</t>
        </is>
      </c>
      <c r="F550" t="inlineStr">
        <is>
          <t>The stories of the Greeks.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Warner, Rex, 1905-1986.</t>
        </is>
      </c>
      <c r="N550" t="inlineStr">
        <is>
          <t>New York, Farrar, Straus &amp; Giroux [1967]</t>
        </is>
      </c>
      <c r="O550" t="inlineStr">
        <is>
          <t>1967</t>
        </is>
      </c>
      <c r="Q550" t="inlineStr">
        <is>
          <t>eng</t>
        </is>
      </c>
      <c r="R550" t="inlineStr">
        <is>
          <t>nyu</t>
        </is>
      </c>
      <c r="T550" t="inlineStr">
        <is>
          <t xml:space="preserve">BL </t>
        </is>
      </c>
      <c r="U550" t="n">
        <v>7</v>
      </c>
      <c r="V550" t="n">
        <v>7</v>
      </c>
      <c r="W550" t="inlineStr">
        <is>
          <t>1995-10-11</t>
        </is>
      </c>
      <c r="X550" t="inlineStr">
        <is>
          <t>1995-10-11</t>
        </is>
      </c>
      <c r="Y550" t="inlineStr">
        <is>
          <t>1990-10-15</t>
        </is>
      </c>
      <c r="Z550" t="inlineStr">
        <is>
          <t>1990-10-15</t>
        </is>
      </c>
      <c r="AA550" t="n">
        <v>654</v>
      </c>
      <c r="AB550" t="n">
        <v>619</v>
      </c>
      <c r="AC550" t="n">
        <v>624</v>
      </c>
      <c r="AD550" t="n">
        <v>3</v>
      </c>
      <c r="AE550" t="n">
        <v>3</v>
      </c>
      <c r="AF550" t="n">
        <v>18</v>
      </c>
      <c r="AG550" t="n">
        <v>19</v>
      </c>
      <c r="AH550" t="n">
        <v>7</v>
      </c>
      <c r="AI550" t="n">
        <v>7</v>
      </c>
      <c r="AJ550" t="n">
        <v>4</v>
      </c>
      <c r="AK550" t="n">
        <v>5</v>
      </c>
      <c r="AL550" t="n">
        <v>8</v>
      </c>
      <c r="AM550" t="n">
        <v>9</v>
      </c>
      <c r="AN550" t="n">
        <v>2</v>
      </c>
      <c r="AO550" t="n">
        <v>2</v>
      </c>
      <c r="AP550" t="n">
        <v>0</v>
      </c>
      <c r="AQ550" t="n">
        <v>0</v>
      </c>
      <c r="AR550" t="inlineStr">
        <is>
          <t>No</t>
        </is>
      </c>
      <c r="AS550" t="inlineStr">
        <is>
          <t>No</t>
        </is>
      </c>
      <c r="AU550">
        <f>HYPERLINK("https://creighton-primo.hosted.exlibrisgroup.com/primo-explore/search?tab=default_tab&amp;search_scope=EVERYTHING&amp;vid=01CRU&amp;lang=en_US&amp;offset=0&amp;query=any,contains,991003359229702656","Catalog Record")</f>
        <v/>
      </c>
      <c r="AV550">
        <f>HYPERLINK("http://www.worldcat.org/oclc/894805","WorldCat Record")</f>
        <v/>
      </c>
      <c r="AW550" t="inlineStr">
        <is>
          <t>21029309:eng</t>
        </is>
      </c>
      <c r="AX550" t="inlineStr">
        <is>
          <t>894805</t>
        </is>
      </c>
      <c r="AY550" t="inlineStr">
        <is>
          <t>991003359229702656</t>
        </is>
      </c>
      <c r="AZ550" t="inlineStr">
        <is>
          <t>991003359229702656</t>
        </is>
      </c>
      <c r="BA550" t="inlineStr">
        <is>
          <t>2260647400002656</t>
        </is>
      </c>
      <c r="BB550" t="inlineStr">
        <is>
          <t>BOOK</t>
        </is>
      </c>
      <c r="BE550" t="inlineStr">
        <is>
          <t>32285000348051</t>
        </is>
      </c>
      <c r="BF550" t="inlineStr">
        <is>
          <t>893774658</t>
        </is>
      </c>
    </row>
    <row r="551">
      <c r="A551" t="inlineStr">
        <is>
          <t>No</t>
        </is>
      </c>
      <c r="B551" t="inlineStr">
        <is>
          <t>CURAL</t>
        </is>
      </c>
      <c r="C551" t="inlineStr">
        <is>
          <t>SHELVES</t>
        </is>
      </c>
      <c r="D551" t="inlineStr">
        <is>
          <t>BL785 .A3 1908a</t>
        </is>
      </c>
      <c r="E551" t="inlineStr">
        <is>
          <t>0                      BL 0785000A  3           1908a</t>
        </is>
      </c>
      <c r="F551" t="inlineStr">
        <is>
          <t>The religious teachers of Greece; being Gifford lectures on natural religion delivered at Aberdeen, by James Adam. Edited with a memoir, by his wife, Adela Marion Adam.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M551" t="inlineStr">
        <is>
          <t>Adam, James, 1860-1907.</t>
        </is>
      </c>
      <c r="N551" t="inlineStr">
        <is>
          <t>Edinburgh, T. &amp; T. Clark, 1908.</t>
        </is>
      </c>
      <c r="O551" t="inlineStr">
        <is>
          <t>1908</t>
        </is>
      </c>
      <c r="Q551" t="inlineStr">
        <is>
          <t>eng</t>
        </is>
      </c>
      <c r="R551" t="inlineStr">
        <is>
          <t>___</t>
        </is>
      </c>
      <c r="S551" t="inlineStr">
        <is>
          <t>Gifford lectures ; 1904-1906</t>
        </is>
      </c>
      <c r="T551" t="inlineStr">
        <is>
          <t xml:space="preserve">BL </t>
        </is>
      </c>
      <c r="U551" t="n">
        <v>6</v>
      </c>
      <c r="V551" t="n">
        <v>6</v>
      </c>
      <c r="W551" t="inlineStr">
        <is>
          <t>2002-10-25</t>
        </is>
      </c>
      <c r="X551" t="inlineStr">
        <is>
          <t>2002-10-25</t>
        </is>
      </c>
      <c r="Y551" t="inlineStr">
        <is>
          <t>1990-10-15</t>
        </is>
      </c>
      <c r="Z551" t="inlineStr">
        <is>
          <t>1990-10-15</t>
        </is>
      </c>
      <c r="AA551" t="n">
        <v>266</v>
      </c>
      <c r="AB551" t="n">
        <v>199</v>
      </c>
      <c r="AC551" t="n">
        <v>378</v>
      </c>
      <c r="AD551" t="n">
        <v>1</v>
      </c>
      <c r="AE551" t="n">
        <v>4</v>
      </c>
      <c r="AF551" t="n">
        <v>14</v>
      </c>
      <c r="AG551" t="n">
        <v>25</v>
      </c>
      <c r="AH551" t="n">
        <v>5</v>
      </c>
      <c r="AI551" t="n">
        <v>9</v>
      </c>
      <c r="AJ551" t="n">
        <v>5</v>
      </c>
      <c r="AK551" t="n">
        <v>7</v>
      </c>
      <c r="AL551" t="n">
        <v>7</v>
      </c>
      <c r="AM551" t="n">
        <v>11</v>
      </c>
      <c r="AN551" t="n">
        <v>0</v>
      </c>
      <c r="AO551" t="n">
        <v>3</v>
      </c>
      <c r="AP551" t="n">
        <v>0</v>
      </c>
      <c r="AQ551" t="n">
        <v>0</v>
      </c>
      <c r="AR551" t="inlineStr">
        <is>
          <t>Yes</t>
        </is>
      </c>
      <c r="AS551" t="inlineStr">
        <is>
          <t>No</t>
        </is>
      </c>
      <c r="AT551">
        <f>HYPERLINK("http://catalog.hathitrust.org/Record/001392515","HathiTrust Record")</f>
        <v/>
      </c>
      <c r="AU551">
        <f>HYPERLINK("https://creighton-primo.hosted.exlibrisgroup.com/primo-explore/search?tab=default_tab&amp;search_scope=EVERYTHING&amp;vid=01CRU&amp;lang=en_US&amp;offset=0&amp;query=any,contains,991003687049702656","Catalog Record")</f>
        <v/>
      </c>
      <c r="AV551">
        <f>HYPERLINK("http://www.worldcat.org/oclc/1315733","WorldCat Record")</f>
        <v/>
      </c>
      <c r="AW551" t="inlineStr">
        <is>
          <t>2190718:eng</t>
        </is>
      </c>
      <c r="AX551" t="inlineStr">
        <is>
          <t>1315733</t>
        </is>
      </c>
      <c r="AY551" t="inlineStr">
        <is>
          <t>991003687049702656</t>
        </is>
      </c>
      <c r="AZ551" t="inlineStr">
        <is>
          <t>991003687049702656</t>
        </is>
      </c>
      <c r="BA551" t="inlineStr">
        <is>
          <t>2267597510002656</t>
        </is>
      </c>
      <c r="BB551" t="inlineStr">
        <is>
          <t>BOOK</t>
        </is>
      </c>
      <c r="BE551" t="inlineStr">
        <is>
          <t>32285000348069</t>
        </is>
      </c>
      <c r="BF551" t="inlineStr">
        <is>
          <t>893435306</t>
        </is>
      </c>
    </row>
    <row r="552">
      <c r="A552" t="inlineStr">
        <is>
          <t>No</t>
        </is>
      </c>
      <c r="B552" t="inlineStr">
        <is>
          <t>CURAL</t>
        </is>
      </c>
      <c r="C552" t="inlineStr">
        <is>
          <t>SHELVES</t>
        </is>
      </c>
      <c r="D552" t="inlineStr">
        <is>
          <t>BL785 .D513</t>
        </is>
      </c>
      <c r="E552" t="inlineStr">
        <is>
          <t>0                      BL 0785000D  513</t>
        </is>
      </c>
      <c r="F552" t="inlineStr">
        <is>
          <t>Symbolism in Greek mythology : founded on the study of inner motivations / Paul Diel ; pref. by Gaston Bachelard ; translated from the French by Micheline and Vincent Stuart and Rebecca Folkman.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M552" t="inlineStr">
        <is>
          <t>Diel, Paul, 1893-1972.</t>
        </is>
      </c>
      <c r="N552" t="inlineStr">
        <is>
          <t>Boulder : Shambhala ; [New York] : distributed in the U.S. by Random House, 1980.</t>
        </is>
      </c>
      <c r="O552" t="inlineStr">
        <is>
          <t>1980</t>
        </is>
      </c>
      <c r="Q552" t="inlineStr">
        <is>
          <t>eng</t>
        </is>
      </c>
      <c r="R552" t="inlineStr">
        <is>
          <t>cou</t>
        </is>
      </c>
      <c r="T552" t="inlineStr">
        <is>
          <t xml:space="preserve">BL </t>
        </is>
      </c>
      <c r="U552" t="n">
        <v>3</v>
      </c>
      <c r="V552" t="n">
        <v>3</v>
      </c>
      <c r="W552" t="inlineStr">
        <is>
          <t>1997-04-01</t>
        </is>
      </c>
      <c r="X552" t="inlineStr">
        <is>
          <t>1997-04-01</t>
        </is>
      </c>
      <c r="Y552" t="inlineStr">
        <is>
          <t>1990-10-15</t>
        </is>
      </c>
      <c r="Z552" t="inlineStr">
        <is>
          <t>1990-10-15</t>
        </is>
      </c>
      <c r="AA552" t="n">
        <v>520</v>
      </c>
      <c r="AB552" t="n">
        <v>425</v>
      </c>
      <c r="AC552" t="n">
        <v>431</v>
      </c>
      <c r="AD552" t="n">
        <v>3</v>
      </c>
      <c r="AE552" t="n">
        <v>3</v>
      </c>
      <c r="AF552" t="n">
        <v>20</v>
      </c>
      <c r="AG552" t="n">
        <v>20</v>
      </c>
      <c r="AH552" t="n">
        <v>6</v>
      </c>
      <c r="AI552" t="n">
        <v>6</v>
      </c>
      <c r="AJ552" t="n">
        <v>7</v>
      </c>
      <c r="AK552" t="n">
        <v>7</v>
      </c>
      <c r="AL552" t="n">
        <v>12</v>
      </c>
      <c r="AM552" t="n">
        <v>12</v>
      </c>
      <c r="AN552" t="n">
        <v>2</v>
      </c>
      <c r="AO552" t="n">
        <v>2</v>
      </c>
      <c r="AP552" t="n">
        <v>0</v>
      </c>
      <c r="AQ552" t="n">
        <v>0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HYPERLINK("http://catalog.hathitrust.org/Record/006809271","HathiTrust Record")</f>
        <v/>
      </c>
      <c r="AU552">
        <f>HYPERLINK("https://creighton-primo.hosted.exlibrisgroup.com/primo-explore/search?tab=default_tab&amp;search_scope=EVERYTHING&amp;vid=01CRU&amp;lang=en_US&amp;offset=0&amp;query=any,contains,991004862229702656","Catalog Record")</f>
        <v/>
      </c>
      <c r="AV552">
        <f>HYPERLINK("http://www.worldcat.org/oclc/5707940","WorldCat Record")</f>
        <v/>
      </c>
      <c r="AW552" t="inlineStr">
        <is>
          <t>509883787:eng</t>
        </is>
      </c>
      <c r="AX552" t="inlineStr">
        <is>
          <t>5707940</t>
        </is>
      </c>
      <c r="AY552" t="inlineStr">
        <is>
          <t>991004862229702656</t>
        </is>
      </c>
      <c r="AZ552" t="inlineStr">
        <is>
          <t>991004862229702656</t>
        </is>
      </c>
      <c r="BA552" t="inlineStr">
        <is>
          <t>2258417830002656</t>
        </is>
      </c>
      <c r="BB552" t="inlineStr">
        <is>
          <t>BOOK</t>
        </is>
      </c>
      <c r="BD552" t="inlineStr">
        <is>
          <t>9780394510835</t>
        </is>
      </c>
      <c r="BE552" t="inlineStr">
        <is>
          <t>32285000348093</t>
        </is>
      </c>
      <c r="BF552" t="inlineStr">
        <is>
          <t>893612861</t>
        </is>
      </c>
    </row>
    <row r="553">
      <c r="A553" t="inlineStr">
        <is>
          <t>No</t>
        </is>
      </c>
      <c r="B553" t="inlineStr">
        <is>
          <t>CURAL</t>
        </is>
      </c>
      <c r="C553" t="inlineStr">
        <is>
          <t>SHELVES</t>
        </is>
      </c>
      <c r="D553" t="inlineStr">
        <is>
          <t>BL785 .F48</t>
        </is>
      </c>
      <c r="E553" t="inlineStr">
        <is>
          <t>0                      BL 0785000F  48</t>
        </is>
      </c>
      <c r="F553" t="inlineStr">
        <is>
          <t>Personal religion among the Greeks / Andre-Jean Festugiere.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Festugière, A. J. (André Jean), 1898-1982.</t>
        </is>
      </c>
      <c r="N553" t="inlineStr">
        <is>
          <t>Berkeley, University of California Press, 1954.</t>
        </is>
      </c>
      <c r="O553" t="inlineStr">
        <is>
          <t>1954</t>
        </is>
      </c>
      <c r="Q553" t="inlineStr">
        <is>
          <t>eng</t>
        </is>
      </c>
      <c r="R553" t="inlineStr">
        <is>
          <t>cau</t>
        </is>
      </c>
      <c r="S553" t="inlineStr">
        <is>
          <t>Sather classical lectures ; v. 26</t>
        </is>
      </c>
      <c r="T553" t="inlineStr">
        <is>
          <t xml:space="preserve">BL </t>
        </is>
      </c>
      <c r="U553" t="n">
        <v>3</v>
      </c>
      <c r="V553" t="n">
        <v>3</v>
      </c>
      <c r="W553" t="inlineStr">
        <is>
          <t>2000-02-08</t>
        </is>
      </c>
      <c r="X553" t="inlineStr">
        <is>
          <t>2000-02-08</t>
        </is>
      </c>
      <c r="Y553" t="inlineStr">
        <is>
          <t>1990-10-15</t>
        </is>
      </c>
      <c r="Z553" t="inlineStr">
        <is>
          <t>1990-10-15</t>
        </is>
      </c>
      <c r="AA553" t="n">
        <v>591</v>
      </c>
      <c r="AB553" t="n">
        <v>478</v>
      </c>
      <c r="AC553" t="n">
        <v>563</v>
      </c>
      <c r="AD553" t="n">
        <v>6</v>
      </c>
      <c r="AE553" t="n">
        <v>6</v>
      </c>
      <c r="AF553" t="n">
        <v>36</v>
      </c>
      <c r="AG553" t="n">
        <v>40</v>
      </c>
      <c r="AH553" t="n">
        <v>14</v>
      </c>
      <c r="AI553" t="n">
        <v>16</v>
      </c>
      <c r="AJ553" t="n">
        <v>8</v>
      </c>
      <c r="AK553" t="n">
        <v>10</v>
      </c>
      <c r="AL553" t="n">
        <v>22</v>
      </c>
      <c r="AM553" t="n">
        <v>23</v>
      </c>
      <c r="AN553" t="n">
        <v>3</v>
      </c>
      <c r="AO553" t="n">
        <v>3</v>
      </c>
      <c r="AP553" t="n">
        <v>0</v>
      </c>
      <c r="AQ553" t="n">
        <v>0</v>
      </c>
      <c r="AR553" t="inlineStr">
        <is>
          <t>No</t>
        </is>
      </c>
      <c r="AS553" t="inlineStr">
        <is>
          <t>No</t>
        </is>
      </c>
      <c r="AT553">
        <f>HYPERLINK("http://catalog.hathitrust.org/Record/001392524","HathiTrust Record")</f>
        <v/>
      </c>
      <c r="AU553">
        <f>HYPERLINK("https://creighton-primo.hosted.exlibrisgroup.com/primo-explore/search?tab=default_tab&amp;search_scope=EVERYTHING&amp;vid=01CRU&amp;lang=en_US&amp;offset=0&amp;query=any,contains,991005354499702656","Catalog Record")</f>
        <v/>
      </c>
      <c r="AV553">
        <f>HYPERLINK("http://www.worldcat.org/oclc/322071","WorldCat Record")</f>
        <v/>
      </c>
      <c r="AW553" t="inlineStr">
        <is>
          <t>1403524:eng</t>
        </is>
      </c>
      <c r="AX553" t="inlineStr">
        <is>
          <t>322071</t>
        </is>
      </c>
      <c r="AY553" t="inlineStr">
        <is>
          <t>991005354499702656</t>
        </is>
      </c>
      <c r="AZ553" t="inlineStr">
        <is>
          <t>991005354499702656</t>
        </is>
      </c>
      <c r="BA553" t="inlineStr">
        <is>
          <t>2255532690002656</t>
        </is>
      </c>
      <c r="BB553" t="inlineStr">
        <is>
          <t>BOOK</t>
        </is>
      </c>
      <c r="BE553" t="inlineStr">
        <is>
          <t>32285000348119</t>
        </is>
      </c>
      <c r="BF553" t="inlineStr">
        <is>
          <t>893883713</t>
        </is>
      </c>
    </row>
    <row r="554">
      <c r="A554" t="inlineStr">
        <is>
          <t>No</t>
        </is>
      </c>
      <c r="B554" t="inlineStr">
        <is>
          <t>CURAL</t>
        </is>
      </c>
      <c r="C554" t="inlineStr">
        <is>
          <t>SHELVES</t>
        </is>
      </c>
      <c r="D554" t="inlineStr">
        <is>
          <t>BL785 .H38 1962</t>
        </is>
      </c>
      <c r="E554" t="inlineStr">
        <is>
          <t>0                      BL 0785000H  38          1962</t>
        </is>
      </c>
      <c r="F554" t="inlineStr">
        <is>
          <t>Epilegomena to the study of Greek religion, and Themis; a study of the social origins of Greek religion / by Jane Ellen Harrison.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Harrison, Jane Ellen, 1850-1928.</t>
        </is>
      </c>
      <c r="N554" t="inlineStr">
        <is>
          <t>New Hyde Park, N. Y., University Books [1962]</t>
        </is>
      </c>
      <c r="O554" t="inlineStr">
        <is>
          <t>1962</t>
        </is>
      </c>
      <c r="P554" t="inlineStr">
        <is>
          <t>[1st American ed.]</t>
        </is>
      </c>
      <c r="Q554" t="inlineStr">
        <is>
          <t>eng</t>
        </is>
      </c>
      <c r="R554" t="inlineStr">
        <is>
          <t>___</t>
        </is>
      </c>
      <c r="T554" t="inlineStr">
        <is>
          <t xml:space="preserve">BL </t>
        </is>
      </c>
      <c r="U554" t="n">
        <v>4</v>
      </c>
      <c r="V554" t="n">
        <v>4</v>
      </c>
      <c r="W554" t="inlineStr">
        <is>
          <t>2000-01-18</t>
        </is>
      </c>
      <c r="X554" t="inlineStr">
        <is>
          <t>2000-01-18</t>
        </is>
      </c>
      <c r="Y554" t="inlineStr">
        <is>
          <t>1990-10-15</t>
        </is>
      </c>
      <c r="Z554" t="inlineStr">
        <is>
          <t>1990-10-15</t>
        </is>
      </c>
      <c r="AA554" t="n">
        <v>654</v>
      </c>
      <c r="AB554" t="n">
        <v>602</v>
      </c>
      <c r="AC554" t="n">
        <v>617</v>
      </c>
      <c r="AD554" t="n">
        <v>4</v>
      </c>
      <c r="AE554" t="n">
        <v>4</v>
      </c>
      <c r="AF554" t="n">
        <v>29</v>
      </c>
      <c r="AG554" t="n">
        <v>29</v>
      </c>
      <c r="AH554" t="n">
        <v>12</v>
      </c>
      <c r="AI554" t="n">
        <v>12</v>
      </c>
      <c r="AJ554" t="n">
        <v>6</v>
      </c>
      <c r="AK554" t="n">
        <v>6</v>
      </c>
      <c r="AL554" t="n">
        <v>18</v>
      </c>
      <c r="AM554" t="n">
        <v>18</v>
      </c>
      <c r="AN554" t="n">
        <v>2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No</t>
        </is>
      </c>
      <c r="AU554">
        <f>HYPERLINK("https://creighton-primo.hosted.exlibrisgroup.com/primo-explore/search?tab=default_tab&amp;search_scope=EVERYTHING&amp;vid=01CRU&amp;lang=en_US&amp;offset=0&amp;query=any,contains,991003325109702656","Catalog Record")</f>
        <v/>
      </c>
      <c r="AV554">
        <f>HYPERLINK("http://www.worldcat.org/oclc/854246","WorldCat Record")</f>
        <v/>
      </c>
      <c r="AW554" t="inlineStr">
        <is>
          <t>3901061821:eng</t>
        </is>
      </c>
      <c r="AX554" t="inlineStr">
        <is>
          <t>854246</t>
        </is>
      </c>
      <c r="AY554" t="inlineStr">
        <is>
          <t>991003325109702656</t>
        </is>
      </c>
      <c r="AZ554" t="inlineStr">
        <is>
          <t>991003325109702656</t>
        </is>
      </c>
      <c r="BA554" t="inlineStr">
        <is>
          <t>2265362710002656</t>
        </is>
      </c>
      <c r="BB554" t="inlineStr">
        <is>
          <t>BOOK</t>
        </is>
      </c>
      <c r="BE554" t="inlineStr">
        <is>
          <t>32285000348135</t>
        </is>
      </c>
      <c r="BF554" t="inlineStr">
        <is>
          <t>893348562</t>
        </is>
      </c>
    </row>
    <row r="555">
      <c r="A555" t="inlineStr">
        <is>
          <t>No</t>
        </is>
      </c>
      <c r="B555" t="inlineStr">
        <is>
          <t>CURAL</t>
        </is>
      </c>
      <c r="C555" t="inlineStr">
        <is>
          <t>SHELVES</t>
        </is>
      </c>
      <c r="D555" t="inlineStr">
        <is>
          <t>BL785 .H8</t>
        </is>
      </c>
      <c r="E555" t="inlineStr">
        <is>
          <t>0                      BL 0785000H  8</t>
        </is>
      </c>
      <c r="F555" t="inlineStr">
        <is>
          <t>Greek religion and its survivals / by Walter Woodburn Hyde.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Hyde, Walter Woodburn, 1871-1966.</t>
        </is>
      </c>
      <c r="N555" t="inlineStr">
        <is>
          <t>Boston, Mass., Marshall Jones company [1923]</t>
        </is>
      </c>
      <c r="O555" t="inlineStr">
        <is>
          <t>1923</t>
        </is>
      </c>
      <c r="Q555" t="inlineStr">
        <is>
          <t>eng</t>
        </is>
      </c>
      <c r="R555" t="inlineStr">
        <is>
          <t>mau</t>
        </is>
      </c>
      <c r="S555" t="inlineStr">
        <is>
          <t>Half-title: Our debt to Greece and Rome ...</t>
        </is>
      </c>
      <c r="T555" t="inlineStr">
        <is>
          <t xml:space="preserve">BL </t>
        </is>
      </c>
      <c r="U555" t="n">
        <v>7</v>
      </c>
      <c r="V555" t="n">
        <v>7</v>
      </c>
      <c r="W555" t="inlineStr">
        <is>
          <t>2001-10-23</t>
        </is>
      </c>
      <c r="X555" t="inlineStr">
        <is>
          <t>2001-10-23</t>
        </is>
      </c>
      <c r="Y555" t="inlineStr">
        <is>
          <t>1990-10-15</t>
        </is>
      </c>
      <c r="Z555" t="inlineStr">
        <is>
          <t>1990-10-15</t>
        </is>
      </c>
      <c r="AA555" t="n">
        <v>308</v>
      </c>
      <c r="AB555" t="n">
        <v>286</v>
      </c>
      <c r="AC555" t="n">
        <v>905</v>
      </c>
      <c r="AD555" t="n">
        <v>5</v>
      </c>
      <c r="AE555" t="n">
        <v>8</v>
      </c>
      <c r="AF555" t="n">
        <v>20</v>
      </c>
      <c r="AG555" t="n">
        <v>43</v>
      </c>
      <c r="AH555" t="n">
        <v>4</v>
      </c>
      <c r="AI555" t="n">
        <v>17</v>
      </c>
      <c r="AJ555" t="n">
        <v>5</v>
      </c>
      <c r="AK555" t="n">
        <v>10</v>
      </c>
      <c r="AL555" t="n">
        <v>12</v>
      </c>
      <c r="AM555" t="n">
        <v>21</v>
      </c>
      <c r="AN555" t="n">
        <v>4</v>
      </c>
      <c r="AO555" t="n">
        <v>7</v>
      </c>
      <c r="AP555" t="n">
        <v>0</v>
      </c>
      <c r="AQ555" t="n">
        <v>0</v>
      </c>
      <c r="AR555" t="inlineStr">
        <is>
          <t>Yes</t>
        </is>
      </c>
      <c r="AS555" t="inlineStr">
        <is>
          <t>No</t>
        </is>
      </c>
      <c r="AT555">
        <f>HYPERLINK("http://catalog.hathitrust.org/Record/000838963","HathiTrust Record")</f>
        <v/>
      </c>
      <c r="AU555">
        <f>HYPERLINK("https://creighton-primo.hosted.exlibrisgroup.com/primo-explore/search?tab=default_tab&amp;search_scope=EVERYTHING&amp;vid=01CRU&amp;lang=en_US&amp;offset=0&amp;query=any,contains,991003986829702656","Catalog Record")</f>
        <v/>
      </c>
      <c r="AV555">
        <f>HYPERLINK("http://www.worldcat.org/oclc/2034327","WorldCat Record")</f>
        <v/>
      </c>
      <c r="AW555" t="inlineStr">
        <is>
          <t>1419033:eng</t>
        </is>
      </c>
      <c r="AX555" t="inlineStr">
        <is>
          <t>2034327</t>
        </is>
      </c>
      <c r="AY555" t="inlineStr">
        <is>
          <t>991003986829702656</t>
        </is>
      </c>
      <c r="AZ555" t="inlineStr">
        <is>
          <t>991003986829702656</t>
        </is>
      </c>
      <c r="BA555" t="inlineStr">
        <is>
          <t>2267655130002656</t>
        </is>
      </c>
      <c r="BB555" t="inlineStr">
        <is>
          <t>BOOK</t>
        </is>
      </c>
      <c r="BE555" t="inlineStr">
        <is>
          <t>32285000348150</t>
        </is>
      </c>
      <c r="BF555" t="inlineStr">
        <is>
          <t>893705866</t>
        </is>
      </c>
    </row>
    <row r="556">
      <c r="A556" t="inlineStr">
        <is>
          <t>No</t>
        </is>
      </c>
      <c r="B556" t="inlineStr">
        <is>
          <t>CURAL</t>
        </is>
      </c>
      <c r="C556" t="inlineStr">
        <is>
          <t>SHELVES</t>
        </is>
      </c>
      <c r="D556" t="inlineStr">
        <is>
          <t>BL785 .N483 1969</t>
        </is>
      </c>
      <c r="E556" t="inlineStr">
        <is>
          <t>0                      BL 0785000N  483         1969</t>
        </is>
      </c>
      <c r="F556" t="inlineStr">
        <is>
          <t>Greek piety / Translated from the Swedish by Herbert Jennings Rose.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Nilsson, Martin P. (Martin Persson), 1874-1967.</t>
        </is>
      </c>
      <c r="N556" t="inlineStr">
        <is>
          <t>New York, Norton [1969, c1948]</t>
        </is>
      </c>
      <c r="O556" t="inlineStr">
        <is>
          <t>1969</t>
        </is>
      </c>
      <c r="Q556" t="inlineStr">
        <is>
          <t>eng</t>
        </is>
      </c>
      <c r="R556" t="inlineStr">
        <is>
          <t>nyu</t>
        </is>
      </c>
      <c r="S556" t="inlineStr">
        <is>
          <t>The Norton library</t>
        </is>
      </c>
      <c r="T556" t="inlineStr">
        <is>
          <t xml:space="preserve">BL </t>
        </is>
      </c>
      <c r="U556" t="n">
        <v>5</v>
      </c>
      <c r="V556" t="n">
        <v>5</v>
      </c>
      <c r="W556" t="inlineStr">
        <is>
          <t>1997-11-02</t>
        </is>
      </c>
      <c r="X556" t="inlineStr">
        <is>
          <t>1997-11-02</t>
        </is>
      </c>
      <c r="Y556" t="inlineStr">
        <is>
          <t>1990-10-15</t>
        </is>
      </c>
      <c r="Z556" t="inlineStr">
        <is>
          <t>1990-10-15</t>
        </is>
      </c>
      <c r="AA556" t="n">
        <v>202</v>
      </c>
      <c r="AB556" t="n">
        <v>179</v>
      </c>
      <c r="AC556" t="n">
        <v>616</v>
      </c>
      <c r="AD556" t="n">
        <v>1</v>
      </c>
      <c r="AE556" t="n">
        <v>3</v>
      </c>
      <c r="AF556" t="n">
        <v>5</v>
      </c>
      <c r="AG556" t="n">
        <v>33</v>
      </c>
      <c r="AH556" t="n">
        <v>2</v>
      </c>
      <c r="AI556" t="n">
        <v>13</v>
      </c>
      <c r="AJ556" t="n">
        <v>4</v>
      </c>
      <c r="AK556" t="n">
        <v>10</v>
      </c>
      <c r="AL556" t="n">
        <v>1</v>
      </c>
      <c r="AM556" t="n">
        <v>18</v>
      </c>
      <c r="AN556" t="n">
        <v>0</v>
      </c>
      <c r="AO556" t="n">
        <v>2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HYPERLINK("http://catalog.hathitrust.org/Record/001922464","HathiTrust Record")</f>
        <v/>
      </c>
      <c r="AU556">
        <f>HYPERLINK("https://creighton-primo.hosted.exlibrisgroup.com/primo-explore/search?tab=default_tab&amp;search_scope=EVERYTHING&amp;vid=01CRU&amp;lang=en_US&amp;offset=0&amp;query=any,contains,991002863029702656","Catalog Record")</f>
        <v/>
      </c>
      <c r="AV556">
        <f>HYPERLINK("http://www.worldcat.org/oclc/494671","WorldCat Record")</f>
        <v/>
      </c>
      <c r="AW556" t="inlineStr">
        <is>
          <t>28384490:eng</t>
        </is>
      </c>
      <c r="AX556" t="inlineStr">
        <is>
          <t>494671</t>
        </is>
      </c>
      <c r="AY556" t="inlineStr">
        <is>
          <t>991002863029702656</t>
        </is>
      </c>
      <c r="AZ556" t="inlineStr">
        <is>
          <t>991002863029702656</t>
        </is>
      </c>
      <c r="BA556" t="inlineStr">
        <is>
          <t>2255702630002656</t>
        </is>
      </c>
      <c r="BB556" t="inlineStr">
        <is>
          <t>BOOK</t>
        </is>
      </c>
      <c r="BE556" t="inlineStr">
        <is>
          <t>32285000348176</t>
        </is>
      </c>
      <c r="BF556" t="inlineStr">
        <is>
          <t>893251715</t>
        </is>
      </c>
    </row>
    <row r="557">
      <c r="A557" t="inlineStr">
        <is>
          <t>No</t>
        </is>
      </c>
      <c r="B557" t="inlineStr">
        <is>
          <t>CURAL</t>
        </is>
      </c>
      <c r="C557" t="inlineStr">
        <is>
          <t>SHELVES</t>
        </is>
      </c>
      <c r="D557" t="inlineStr">
        <is>
          <t>BL785 .R88 1986</t>
        </is>
      </c>
      <c r="E557" t="inlineStr">
        <is>
          <t>0                      BL 0785000R  88          1986</t>
        </is>
      </c>
      <c r="F557" t="inlineStr">
        <is>
          <t>The cult places of the Aegean / Bogdan Rutkowski.</t>
        </is>
      </c>
      <c r="H557" t="inlineStr">
        <is>
          <t>No</t>
        </is>
      </c>
      <c r="I557" t="inlineStr">
        <is>
          <t>1</t>
        </is>
      </c>
      <c r="J557" t="inlineStr">
        <is>
          <t>No</t>
        </is>
      </c>
      <c r="K557" t="inlineStr">
        <is>
          <t>No</t>
        </is>
      </c>
      <c r="L557" t="inlineStr">
        <is>
          <t>0</t>
        </is>
      </c>
      <c r="M557" t="inlineStr">
        <is>
          <t>Rutkowski, Bogdan.</t>
        </is>
      </c>
      <c r="N557" t="inlineStr">
        <is>
          <t>New Haven : Yale University Press, 1986.</t>
        </is>
      </c>
      <c r="O557" t="inlineStr">
        <is>
          <t>1986</t>
        </is>
      </c>
      <c r="Q557" t="inlineStr">
        <is>
          <t>eng</t>
        </is>
      </c>
      <c r="R557" t="inlineStr">
        <is>
          <t>ctu</t>
        </is>
      </c>
      <c r="T557" t="inlineStr">
        <is>
          <t xml:space="preserve">BL </t>
        </is>
      </c>
      <c r="U557" t="n">
        <v>7</v>
      </c>
      <c r="V557" t="n">
        <v>7</v>
      </c>
      <c r="W557" t="inlineStr">
        <is>
          <t>2010-04-12</t>
        </is>
      </c>
      <c r="X557" t="inlineStr">
        <is>
          <t>2010-04-12</t>
        </is>
      </c>
      <c r="Y557" t="inlineStr">
        <is>
          <t>1990-10-15</t>
        </is>
      </c>
      <c r="Z557" t="inlineStr">
        <is>
          <t>1990-10-15</t>
        </is>
      </c>
      <c r="AA557" t="n">
        <v>426</v>
      </c>
      <c r="AB557" t="n">
        <v>318</v>
      </c>
      <c r="AC557" t="n">
        <v>328</v>
      </c>
      <c r="AD557" t="n">
        <v>2</v>
      </c>
      <c r="AE557" t="n">
        <v>2</v>
      </c>
      <c r="AF557" t="n">
        <v>12</v>
      </c>
      <c r="AG557" t="n">
        <v>12</v>
      </c>
      <c r="AH557" t="n">
        <v>3</v>
      </c>
      <c r="AI557" t="n">
        <v>3</v>
      </c>
      <c r="AJ557" t="n">
        <v>3</v>
      </c>
      <c r="AK557" t="n">
        <v>3</v>
      </c>
      <c r="AL557" t="n">
        <v>8</v>
      </c>
      <c r="AM557" t="n">
        <v>8</v>
      </c>
      <c r="AN557" t="n">
        <v>1</v>
      </c>
      <c r="AO557" t="n">
        <v>1</v>
      </c>
      <c r="AP557" t="n">
        <v>0</v>
      </c>
      <c r="AQ557" t="n">
        <v>0</v>
      </c>
      <c r="AR557" t="inlineStr">
        <is>
          <t>No</t>
        </is>
      </c>
      <c r="AS557" t="inlineStr">
        <is>
          <t>No</t>
        </is>
      </c>
      <c r="AU557">
        <f>HYPERLINK("https://creighton-primo.hosted.exlibrisgroup.com/primo-explore/search?tab=default_tab&amp;search_scope=EVERYTHING&amp;vid=01CRU&amp;lang=en_US&amp;offset=0&amp;query=any,contains,991000660509702656","Catalog Record")</f>
        <v/>
      </c>
      <c r="AV557">
        <f>HYPERLINK("http://www.worldcat.org/oclc/12237858","WorldCat Record")</f>
        <v/>
      </c>
      <c r="AW557" t="inlineStr">
        <is>
          <t>5199351:eng</t>
        </is>
      </c>
      <c r="AX557" t="inlineStr">
        <is>
          <t>12237858</t>
        </is>
      </c>
      <c r="AY557" t="inlineStr">
        <is>
          <t>991000660509702656</t>
        </is>
      </c>
      <c r="AZ557" t="inlineStr">
        <is>
          <t>991000660509702656</t>
        </is>
      </c>
      <c r="BA557" t="inlineStr">
        <is>
          <t>2268391300002656</t>
        </is>
      </c>
      <c r="BB557" t="inlineStr">
        <is>
          <t>BOOK</t>
        </is>
      </c>
      <c r="BD557" t="inlineStr">
        <is>
          <t>9780300029628</t>
        </is>
      </c>
      <c r="BE557" t="inlineStr">
        <is>
          <t>32285000348218</t>
        </is>
      </c>
      <c r="BF557" t="inlineStr">
        <is>
          <t>893534256</t>
        </is>
      </c>
    </row>
    <row r="558">
      <c r="A558" t="inlineStr">
        <is>
          <t>No</t>
        </is>
      </c>
      <c r="B558" t="inlineStr">
        <is>
          <t>CURAL</t>
        </is>
      </c>
      <c r="C558" t="inlineStr">
        <is>
          <t>SHELVES</t>
        </is>
      </c>
      <c r="D558" t="inlineStr">
        <is>
          <t>BL793.M8 N53 1983</t>
        </is>
      </c>
      <c r="E558" t="inlineStr">
        <is>
          <t>0                      BL 0793000M  8                  N  53          1983</t>
        </is>
      </c>
      <c r="F558" t="inlineStr">
        <is>
          <t>The Mycenaean origin of Greek mythology / by Martin P. Nilsson ; a new introduction and bibliography by Emily Vermeule.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M558" t="inlineStr">
        <is>
          <t>Nilsson, Martin P. (Martin Persson), 1874-1967.</t>
        </is>
      </c>
      <c r="N558" t="inlineStr">
        <is>
          <t>Berkeley : University of California Press, [1983] c1972.</t>
        </is>
      </c>
      <c r="O558" t="inlineStr">
        <is>
          <t>1983</t>
        </is>
      </c>
      <c r="Q558" t="inlineStr">
        <is>
          <t>eng</t>
        </is>
      </c>
      <c r="R558" t="inlineStr">
        <is>
          <t>cau</t>
        </is>
      </c>
      <c r="S558" t="inlineStr">
        <is>
          <t>Sather classical lectures ; v. 8</t>
        </is>
      </c>
      <c r="T558" t="inlineStr">
        <is>
          <t xml:space="preserve">BL </t>
        </is>
      </c>
      <c r="U558" t="n">
        <v>7</v>
      </c>
      <c r="V558" t="n">
        <v>7</v>
      </c>
      <c r="W558" t="inlineStr">
        <is>
          <t>2008-01-22</t>
        </is>
      </c>
      <c r="X558" t="inlineStr">
        <is>
          <t>2008-01-22</t>
        </is>
      </c>
      <c r="Y558" t="inlineStr">
        <is>
          <t>1992-04-20</t>
        </is>
      </c>
      <c r="Z558" t="inlineStr">
        <is>
          <t>1992-04-20</t>
        </is>
      </c>
      <c r="AA558" t="n">
        <v>75</v>
      </c>
      <c r="AB558" t="n">
        <v>60</v>
      </c>
      <c r="AC558" t="n">
        <v>919</v>
      </c>
      <c r="AD558" t="n">
        <v>1</v>
      </c>
      <c r="AE558" t="n">
        <v>6</v>
      </c>
      <c r="AF558" t="n">
        <v>1</v>
      </c>
      <c r="AG558" t="n">
        <v>45</v>
      </c>
      <c r="AH558" t="n">
        <v>0</v>
      </c>
      <c r="AI558" t="n">
        <v>19</v>
      </c>
      <c r="AJ558" t="n">
        <v>1</v>
      </c>
      <c r="AK558" t="n">
        <v>10</v>
      </c>
      <c r="AL558" t="n">
        <v>1</v>
      </c>
      <c r="AM558" t="n">
        <v>23</v>
      </c>
      <c r="AN558" t="n">
        <v>0</v>
      </c>
      <c r="AO558" t="n">
        <v>5</v>
      </c>
      <c r="AP558" t="n">
        <v>0</v>
      </c>
      <c r="AQ558" t="n">
        <v>0</v>
      </c>
      <c r="AR558" t="inlineStr">
        <is>
          <t>No</t>
        </is>
      </c>
      <c r="AS558" t="inlineStr">
        <is>
          <t>No</t>
        </is>
      </c>
      <c r="AU558">
        <f>HYPERLINK("https://creighton-primo.hosted.exlibrisgroup.com/primo-explore/search?tab=default_tab&amp;search_scope=EVERYTHING&amp;vid=01CRU&amp;lang=en_US&amp;offset=0&amp;query=any,contains,991001145639702656","Catalog Record")</f>
        <v/>
      </c>
      <c r="AV558">
        <f>HYPERLINK("http://www.worldcat.org/oclc/16761744","WorldCat Record")</f>
        <v/>
      </c>
      <c r="AW558" t="inlineStr">
        <is>
          <t>1473767:eng</t>
        </is>
      </c>
      <c r="AX558" t="inlineStr">
        <is>
          <t>16761744</t>
        </is>
      </c>
      <c r="AY558" t="inlineStr">
        <is>
          <t>991001145639702656</t>
        </is>
      </c>
      <c r="AZ558" t="inlineStr">
        <is>
          <t>991001145639702656</t>
        </is>
      </c>
      <c r="BA558" t="inlineStr">
        <is>
          <t>2260282610002656</t>
        </is>
      </c>
      <c r="BB558" t="inlineStr">
        <is>
          <t>BOOK</t>
        </is>
      </c>
      <c r="BD558" t="inlineStr">
        <is>
          <t>9780520050730</t>
        </is>
      </c>
      <c r="BE558" t="inlineStr">
        <is>
          <t>32285001036085</t>
        </is>
      </c>
      <c r="BF558" t="inlineStr">
        <is>
          <t>893891347</t>
        </is>
      </c>
    </row>
    <row r="559">
      <c r="A559" t="inlineStr">
        <is>
          <t>No</t>
        </is>
      </c>
      <c r="B559" t="inlineStr">
        <is>
          <t>CURAL</t>
        </is>
      </c>
      <c r="C559" t="inlineStr">
        <is>
          <t>SHELVES</t>
        </is>
      </c>
      <c r="D559" t="inlineStr">
        <is>
          <t>BL793.M8 P4</t>
        </is>
      </c>
      <c r="E559" t="inlineStr">
        <is>
          <t>0                      BL 0793000M  8                  P  4</t>
        </is>
      </c>
      <c r="F559" t="inlineStr">
        <is>
          <t>The religion of Greece in prehistoric times / by Axel W. Persson.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M559" t="inlineStr">
        <is>
          <t>Persson, Axel W. (Axel Waldemar), 1888-1951.</t>
        </is>
      </c>
      <c r="N559" t="inlineStr">
        <is>
          <t>Berkeley, Los Angeles, University of California press, 1942.</t>
        </is>
      </c>
      <c r="O559" t="inlineStr">
        <is>
          <t>1942</t>
        </is>
      </c>
      <c r="Q559" t="inlineStr">
        <is>
          <t>eng</t>
        </is>
      </c>
      <c r="R559" t="inlineStr">
        <is>
          <t>cau</t>
        </is>
      </c>
      <c r="S559" t="inlineStr">
        <is>
          <t>Sather classical lectures ; v. 17</t>
        </is>
      </c>
      <c r="T559" t="inlineStr">
        <is>
          <t xml:space="preserve">BL </t>
        </is>
      </c>
      <c r="U559" t="n">
        <v>2</v>
      </c>
      <c r="V559" t="n">
        <v>2</v>
      </c>
      <c r="W559" t="inlineStr">
        <is>
          <t>1992-10-21</t>
        </is>
      </c>
      <c r="X559" t="inlineStr">
        <is>
          <t>1992-10-21</t>
        </is>
      </c>
      <c r="Y559" t="inlineStr">
        <is>
          <t>1992-08-24</t>
        </is>
      </c>
      <c r="Z559" t="inlineStr">
        <is>
          <t>1992-08-24</t>
        </is>
      </c>
      <c r="AA559" t="n">
        <v>342</v>
      </c>
      <c r="AB559" t="n">
        <v>260</v>
      </c>
      <c r="AC559" t="n">
        <v>267</v>
      </c>
      <c r="AD559" t="n">
        <v>3</v>
      </c>
      <c r="AE559" t="n">
        <v>3</v>
      </c>
      <c r="AF559" t="n">
        <v>17</v>
      </c>
      <c r="AG559" t="n">
        <v>17</v>
      </c>
      <c r="AH559" t="n">
        <v>3</v>
      </c>
      <c r="AI559" t="n">
        <v>3</v>
      </c>
      <c r="AJ559" t="n">
        <v>5</v>
      </c>
      <c r="AK559" t="n">
        <v>5</v>
      </c>
      <c r="AL559" t="n">
        <v>10</v>
      </c>
      <c r="AM559" t="n">
        <v>10</v>
      </c>
      <c r="AN559" t="n">
        <v>2</v>
      </c>
      <c r="AO559" t="n">
        <v>2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HYPERLINK("http://catalog.hathitrust.org/Record/001392554","HathiTrust Record")</f>
        <v/>
      </c>
      <c r="AU559">
        <f>HYPERLINK("https://creighton-primo.hosted.exlibrisgroup.com/primo-explore/search?tab=default_tab&amp;search_scope=EVERYTHING&amp;vid=01CRU&amp;lang=en_US&amp;offset=0&amp;query=any,contains,991003035899702656","Catalog Record")</f>
        <v/>
      </c>
      <c r="AV559">
        <f>HYPERLINK("http://www.worldcat.org/oclc/598924","WorldCat Record")</f>
        <v/>
      </c>
      <c r="AW559" t="inlineStr">
        <is>
          <t>1819699:eng</t>
        </is>
      </c>
      <c r="AX559" t="inlineStr">
        <is>
          <t>598924</t>
        </is>
      </c>
      <c r="AY559" t="inlineStr">
        <is>
          <t>991003035899702656</t>
        </is>
      </c>
      <c r="AZ559" t="inlineStr">
        <is>
          <t>991003035899702656</t>
        </is>
      </c>
      <c r="BA559" t="inlineStr">
        <is>
          <t>2267414730002656</t>
        </is>
      </c>
      <c r="BB559" t="inlineStr">
        <is>
          <t>BOOK</t>
        </is>
      </c>
      <c r="BE559" t="inlineStr">
        <is>
          <t>32285001270601</t>
        </is>
      </c>
      <c r="BF559" t="inlineStr">
        <is>
          <t>893434593</t>
        </is>
      </c>
    </row>
    <row r="560">
      <c r="A560" t="inlineStr">
        <is>
          <t>No</t>
        </is>
      </c>
      <c r="B560" t="inlineStr">
        <is>
          <t>CURAL</t>
        </is>
      </c>
      <c r="C560" t="inlineStr">
        <is>
          <t>SHELVES</t>
        </is>
      </c>
      <c r="D560" t="inlineStr">
        <is>
          <t>BL80 .H88</t>
        </is>
      </c>
      <c r="E560" t="inlineStr">
        <is>
          <t>0                      BL 0080000H  88</t>
        </is>
      </c>
      <c r="F560" t="inlineStr">
        <is>
          <t>Archaic religions, by Ernest R. Hull, S.J.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No</t>
        </is>
      </c>
      <c r="L560" t="inlineStr">
        <is>
          <t>0</t>
        </is>
      </c>
      <c r="M560" t="inlineStr">
        <is>
          <t>Hull, Ernest R. (Ernest Reginald), 1863-1952.</t>
        </is>
      </c>
      <c r="N560" t="inlineStr">
        <is>
          <t>Bombay, [India] Examiner press, 1913.</t>
        </is>
      </c>
      <c r="O560" t="inlineStr">
        <is>
          <t>1913</t>
        </is>
      </c>
      <c r="Q560" t="inlineStr">
        <is>
          <t>eng</t>
        </is>
      </c>
      <c r="R560" t="inlineStr">
        <is>
          <t xml:space="preserve">xx </t>
        </is>
      </c>
      <c r="S560" t="inlineStr">
        <is>
          <t>Dynamics of history series ; pt. 1</t>
        </is>
      </c>
      <c r="T560" t="inlineStr">
        <is>
          <t xml:space="preserve">BL </t>
        </is>
      </c>
      <c r="U560" t="n">
        <v>2</v>
      </c>
      <c r="V560" t="n">
        <v>2</v>
      </c>
      <c r="W560" t="inlineStr">
        <is>
          <t>2004-05-03</t>
        </is>
      </c>
      <c r="X560" t="inlineStr">
        <is>
          <t>2004-05-03</t>
        </is>
      </c>
      <c r="Y560" t="inlineStr">
        <is>
          <t>1990-10-03</t>
        </is>
      </c>
      <c r="Z560" t="inlineStr">
        <is>
          <t>1990-10-03</t>
        </is>
      </c>
      <c r="AA560" t="n">
        <v>28</v>
      </c>
      <c r="AB560" t="n">
        <v>19</v>
      </c>
      <c r="AC560" t="n">
        <v>19</v>
      </c>
      <c r="AD560" t="n">
        <v>1</v>
      </c>
      <c r="AE560" t="n">
        <v>1</v>
      </c>
      <c r="AF560" t="n">
        <v>9</v>
      </c>
      <c r="AG560" t="n">
        <v>9</v>
      </c>
      <c r="AH560" t="n">
        <v>2</v>
      </c>
      <c r="AI560" t="n">
        <v>2</v>
      </c>
      <c r="AJ560" t="n">
        <v>2</v>
      </c>
      <c r="AK560" t="n">
        <v>2</v>
      </c>
      <c r="AL560" t="n">
        <v>9</v>
      </c>
      <c r="AM560" t="n">
        <v>9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HYPERLINK("https://creighton-primo.hosted.exlibrisgroup.com/primo-explore/search?tab=default_tab&amp;search_scope=EVERYTHING&amp;vid=01CRU&amp;lang=en_US&amp;offset=0&amp;query=any,contains,991004608419702656","Catalog Record")</f>
        <v/>
      </c>
      <c r="AV560">
        <f>HYPERLINK("http://www.worldcat.org/oclc/4200970","WorldCat Record")</f>
        <v/>
      </c>
      <c r="AW560" t="inlineStr">
        <is>
          <t>1806456264:eng</t>
        </is>
      </c>
      <c r="AX560" t="inlineStr">
        <is>
          <t>4200970</t>
        </is>
      </c>
      <c r="AY560" t="inlineStr">
        <is>
          <t>991004608419702656</t>
        </is>
      </c>
      <c r="AZ560" t="inlineStr">
        <is>
          <t>991004608419702656</t>
        </is>
      </c>
      <c r="BA560" t="inlineStr">
        <is>
          <t>2263608410002656</t>
        </is>
      </c>
      <c r="BB560" t="inlineStr">
        <is>
          <t>BOOK</t>
        </is>
      </c>
      <c r="BE560" t="inlineStr">
        <is>
          <t>32285000330968</t>
        </is>
      </c>
      <c r="BF560" t="inlineStr">
        <is>
          <t>893446298</t>
        </is>
      </c>
    </row>
    <row r="561">
      <c r="A561" t="inlineStr">
        <is>
          <t>No</t>
        </is>
      </c>
      <c r="B561" t="inlineStr">
        <is>
          <t>CURAL</t>
        </is>
      </c>
      <c r="C561" t="inlineStr">
        <is>
          <t>SHELVES</t>
        </is>
      </c>
      <c r="D561" t="inlineStr">
        <is>
          <t>BL80.2 .B55</t>
        </is>
      </c>
      <c r="E561" t="inlineStr">
        <is>
          <t>0                      BL 0080200B  55</t>
        </is>
      </c>
      <c r="F561" t="inlineStr">
        <is>
          <t>Historia religionum; handbook for the history of religions. Edited by C. Jouco Bleeker and Geo Widengren.</t>
        </is>
      </c>
      <c r="H561" t="inlineStr">
        <is>
          <t>Yes</t>
        </is>
      </c>
      <c r="I561" t="inlineStr">
        <is>
          <t>1</t>
        </is>
      </c>
      <c r="J561" t="inlineStr">
        <is>
          <t>Yes</t>
        </is>
      </c>
      <c r="K561" t="inlineStr">
        <is>
          <t>No</t>
        </is>
      </c>
      <c r="L561" t="inlineStr">
        <is>
          <t>0</t>
        </is>
      </c>
      <c r="M561" t="inlineStr">
        <is>
          <t>Bleeker, Claas Jouco, 1898-</t>
        </is>
      </c>
      <c r="N561" t="inlineStr">
        <is>
          <t>Leiden, E. J. Brill, 1969-71.</t>
        </is>
      </c>
      <c r="O561" t="inlineStr">
        <is>
          <t>1969</t>
        </is>
      </c>
      <c r="Q561" t="inlineStr">
        <is>
          <t>eng</t>
        </is>
      </c>
      <c r="R561" t="inlineStr">
        <is>
          <t xml:space="preserve">ne </t>
        </is>
      </c>
      <c r="T561" t="inlineStr">
        <is>
          <t xml:space="preserve">BL </t>
        </is>
      </c>
      <c r="U561" t="n">
        <v>2</v>
      </c>
      <c r="V561" t="n">
        <v>4</v>
      </c>
      <c r="X561" t="inlineStr">
        <is>
          <t>1995-10-18</t>
        </is>
      </c>
      <c r="Y561" t="inlineStr">
        <is>
          <t>1990-10-02</t>
        </is>
      </c>
      <c r="Z561" t="inlineStr">
        <is>
          <t>1990-10-02</t>
        </is>
      </c>
      <c r="AA561" t="n">
        <v>600</v>
      </c>
      <c r="AB561" t="n">
        <v>458</v>
      </c>
      <c r="AC561" t="n">
        <v>461</v>
      </c>
      <c r="AD561" t="n">
        <v>3</v>
      </c>
      <c r="AE561" t="n">
        <v>3</v>
      </c>
      <c r="AF561" t="n">
        <v>24</v>
      </c>
      <c r="AG561" t="n">
        <v>24</v>
      </c>
      <c r="AH561" t="n">
        <v>8</v>
      </c>
      <c r="AI561" t="n">
        <v>8</v>
      </c>
      <c r="AJ561" t="n">
        <v>5</v>
      </c>
      <c r="AK561" t="n">
        <v>5</v>
      </c>
      <c r="AL561" t="n">
        <v>15</v>
      </c>
      <c r="AM561" t="n">
        <v>15</v>
      </c>
      <c r="AN561" t="n">
        <v>1</v>
      </c>
      <c r="AO561" t="n">
        <v>1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HYPERLINK("http://catalog.hathitrust.org/Record/000001352","HathiTrust Record")</f>
        <v/>
      </c>
      <c r="AU561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1">
        <f>HYPERLINK("http://www.worldcat.org/oclc/99087","WorldCat Record")</f>
        <v/>
      </c>
      <c r="AW561" t="inlineStr">
        <is>
          <t>8961051092:eng</t>
        </is>
      </c>
      <c r="AX561" t="inlineStr">
        <is>
          <t>99087</t>
        </is>
      </c>
      <c r="AY561" t="inlineStr">
        <is>
          <t>991000605939702656</t>
        </is>
      </c>
      <c r="AZ561" t="inlineStr">
        <is>
          <t>991000605939702656</t>
        </is>
      </c>
      <c r="BA561" t="inlineStr">
        <is>
          <t>2268991190002656</t>
        </is>
      </c>
      <c r="BB561" t="inlineStr">
        <is>
          <t>BOOK</t>
        </is>
      </c>
      <c r="BE561" t="inlineStr">
        <is>
          <t>32285000330133</t>
        </is>
      </c>
      <c r="BF561" t="inlineStr">
        <is>
          <t>893771782</t>
        </is>
      </c>
    </row>
    <row r="562">
      <c r="A562" t="inlineStr">
        <is>
          <t>No</t>
        </is>
      </c>
      <c r="B562" t="inlineStr">
        <is>
          <t>CURAL</t>
        </is>
      </c>
      <c r="C562" t="inlineStr">
        <is>
          <t>SHELVES</t>
        </is>
      </c>
      <c r="D562" t="inlineStr">
        <is>
          <t>BL80.2 .B55 V.2</t>
        </is>
      </c>
      <c r="E562" t="inlineStr">
        <is>
          <t>0                      BL 0080200B  55                                                      V.2</t>
        </is>
      </c>
      <c r="F562" t="inlineStr">
        <is>
          <t>Historia religionum; handbook for the history of religions. Edited by C. Jouco Bleeker and Geo Widengren.</t>
        </is>
      </c>
      <c r="G562" t="inlineStr">
        <is>
          <t>V.2*</t>
        </is>
      </c>
      <c r="H562" t="inlineStr">
        <is>
          <t>Yes</t>
        </is>
      </c>
      <c r="I562" t="inlineStr">
        <is>
          <t>1</t>
        </is>
      </c>
      <c r="J562" t="inlineStr">
        <is>
          <t>No</t>
        </is>
      </c>
      <c r="K562" t="inlineStr">
        <is>
          <t>No</t>
        </is>
      </c>
      <c r="L562" t="inlineStr">
        <is>
          <t>0</t>
        </is>
      </c>
      <c r="M562" t="inlineStr">
        <is>
          <t>Bleeker, Claas Jouco, 1898-</t>
        </is>
      </c>
      <c r="N562" t="inlineStr">
        <is>
          <t>Leiden, E. J. Brill, 1969-71.</t>
        </is>
      </c>
      <c r="O562" t="inlineStr">
        <is>
          <t>1969</t>
        </is>
      </c>
      <c r="Q562" t="inlineStr">
        <is>
          <t>eng</t>
        </is>
      </c>
      <c r="R562" t="inlineStr">
        <is>
          <t xml:space="preserve">ne </t>
        </is>
      </c>
      <c r="T562" t="inlineStr">
        <is>
          <t xml:space="preserve">BL </t>
        </is>
      </c>
      <c r="U562" t="n">
        <v>2</v>
      </c>
      <c r="V562" t="n">
        <v>4</v>
      </c>
      <c r="W562" t="inlineStr">
        <is>
          <t>1995-10-18</t>
        </is>
      </c>
      <c r="X562" t="inlineStr">
        <is>
          <t>1995-10-18</t>
        </is>
      </c>
      <c r="Y562" t="inlineStr">
        <is>
          <t>1990-10-02</t>
        </is>
      </c>
      <c r="Z562" t="inlineStr">
        <is>
          <t>1990-10-02</t>
        </is>
      </c>
      <c r="AA562" t="n">
        <v>600</v>
      </c>
      <c r="AB562" t="n">
        <v>458</v>
      </c>
      <c r="AC562" t="n">
        <v>461</v>
      </c>
      <c r="AD562" t="n">
        <v>3</v>
      </c>
      <c r="AE562" t="n">
        <v>3</v>
      </c>
      <c r="AF562" t="n">
        <v>24</v>
      </c>
      <c r="AG562" t="n">
        <v>24</v>
      </c>
      <c r="AH562" t="n">
        <v>8</v>
      </c>
      <c r="AI562" t="n">
        <v>8</v>
      </c>
      <c r="AJ562" t="n">
        <v>5</v>
      </c>
      <c r="AK562" t="n">
        <v>5</v>
      </c>
      <c r="AL562" t="n">
        <v>15</v>
      </c>
      <c r="AM562" t="n">
        <v>15</v>
      </c>
      <c r="AN562" t="n">
        <v>1</v>
      </c>
      <c r="AO562" t="n">
        <v>1</v>
      </c>
      <c r="AP562" t="n">
        <v>0</v>
      </c>
      <c r="AQ562" t="n">
        <v>0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HYPERLINK("http://catalog.hathitrust.org/Record/000001352","HathiTrust Record")</f>
        <v/>
      </c>
      <c r="AU562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2">
        <f>HYPERLINK("http://www.worldcat.org/oclc/99087","WorldCat Record")</f>
        <v/>
      </c>
      <c r="AW562" t="inlineStr">
        <is>
          <t>8961051092:eng</t>
        </is>
      </c>
      <c r="AX562" t="inlineStr">
        <is>
          <t>99087</t>
        </is>
      </c>
      <c r="AY562" t="inlineStr">
        <is>
          <t>991000605939702656</t>
        </is>
      </c>
      <c r="AZ562" t="inlineStr">
        <is>
          <t>991000605939702656</t>
        </is>
      </c>
      <c r="BA562" t="inlineStr">
        <is>
          <t>2268991190002656</t>
        </is>
      </c>
      <c r="BB562" t="inlineStr">
        <is>
          <t>BOOK</t>
        </is>
      </c>
      <c r="BE562" t="inlineStr">
        <is>
          <t>32285000330141</t>
        </is>
      </c>
      <c r="BF562" t="inlineStr">
        <is>
          <t>893790677</t>
        </is>
      </c>
    </row>
    <row r="563">
      <c r="A563" t="inlineStr">
        <is>
          <t>No</t>
        </is>
      </c>
      <c r="B563" t="inlineStr">
        <is>
          <t>CURAL</t>
        </is>
      </c>
      <c r="C563" t="inlineStr">
        <is>
          <t>SHELVES</t>
        </is>
      </c>
      <c r="D563" t="inlineStr">
        <is>
          <t>BL80.2 .B7</t>
        </is>
      </c>
      <c r="E563" t="inlineStr">
        <is>
          <t>0                      BL 0080200B  7</t>
        </is>
      </c>
      <c r="F563" t="inlineStr">
        <is>
          <t>A guide to the world's religions.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No</t>
        </is>
      </c>
      <c r="L563" t="inlineStr">
        <is>
          <t>0</t>
        </is>
      </c>
      <c r="M563" t="inlineStr">
        <is>
          <t>Bradley, David G.</t>
        </is>
      </c>
      <c r="N563" t="inlineStr">
        <is>
          <t>Englewood Cliffs, N.J., Prentice-Hall [1963]</t>
        </is>
      </c>
      <c r="O563" t="inlineStr">
        <is>
          <t>1963</t>
        </is>
      </c>
      <c r="Q563" t="inlineStr">
        <is>
          <t>eng</t>
        </is>
      </c>
      <c r="R563" t="inlineStr">
        <is>
          <t>nju</t>
        </is>
      </c>
      <c r="S563" t="inlineStr">
        <is>
          <t>A Spectrum book</t>
        </is>
      </c>
      <c r="T563" t="inlineStr">
        <is>
          <t xml:space="preserve">BL </t>
        </is>
      </c>
      <c r="U563" t="n">
        <v>10</v>
      </c>
      <c r="V563" t="n">
        <v>10</v>
      </c>
      <c r="W563" t="inlineStr">
        <is>
          <t>2002-02-24</t>
        </is>
      </c>
      <c r="X563" t="inlineStr">
        <is>
          <t>2002-02-24</t>
        </is>
      </c>
      <c r="Y563" t="inlineStr">
        <is>
          <t>1990-10-02</t>
        </is>
      </c>
      <c r="Z563" t="inlineStr">
        <is>
          <t>1990-10-02</t>
        </is>
      </c>
      <c r="AA563" t="n">
        <v>558</v>
      </c>
      <c r="AB563" t="n">
        <v>476</v>
      </c>
      <c r="AC563" t="n">
        <v>491</v>
      </c>
      <c r="AD563" t="n">
        <v>2</v>
      </c>
      <c r="AE563" t="n">
        <v>2</v>
      </c>
      <c r="AF563" t="n">
        <v>14</v>
      </c>
      <c r="AG563" t="n">
        <v>14</v>
      </c>
      <c r="AH563" t="n">
        <v>8</v>
      </c>
      <c r="AI563" t="n">
        <v>8</v>
      </c>
      <c r="AJ563" t="n">
        <v>2</v>
      </c>
      <c r="AK563" t="n">
        <v>2</v>
      </c>
      <c r="AL563" t="n">
        <v>7</v>
      </c>
      <c r="AM563" t="n">
        <v>7</v>
      </c>
      <c r="AN563" t="n">
        <v>0</v>
      </c>
      <c r="AO563" t="n">
        <v>0</v>
      </c>
      <c r="AP563" t="n">
        <v>0</v>
      </c>
      <c r="AQ563" t="n">
        <v>0</v>
      </c>
      <c r="AR563" t="inlineStr">
        <is>
          <t>No</t>
        </is>
      </c>
      <c r="AS563" t="inlineStr">
        <is>
          <t>Yes</t>
        </is>
      </c>
      <c r="AT563">
        <f>HYPERLINK("http://catalog.hathitrust.org/Record/101875223","HathiTrust Record")</f>
        <v/>
      </c>
      <c r="AU563">
        <f>HYPERLINK("https://creighton-primo.hosted.exlibrisgroup.com/primo-explore/search?tab=default_tab&amp;search_scope=EVERYTHING&amp;vid=01CRU&amp;lang=en_US&amp;offset=0&amp;query=any,contains,991003256429702656","Catalog Record")</f>
        <v/>
      </c>
      <c r="AV563">
        <f>HYPERLINK("http://www.worldcat.org/oclc/781721","WorldCat Record")</f>
        <v/>
      </c>
      <c r="AW563" t="inlineStr">
        <is>
          <t>1708369:eng</t>
        </is>
      </c>
      <c r="AX563" t="inlineStr">
        <is>
          <t>781721</t>
        </is>
      </c>
      <c r="AY563" t="inlineStr">
        <is>
          <t>991003256429702656</t>
        </is>
      </c>
      <c r="AZ563" t="inlineStr">
        <is>
          <t>991003256429702656</t>
        </is>
      </c>
      <c r="BA563" t="inlineStr">
        <is>
          <t>2262994370002656</t>
        </is>
      </c>
      <c r="BB563" t="inlineStr">
        <is>
          <t>BOOK</t>
        </is>
      </c>
      <c r="BE563" t="inlineStr">
        <is>
          <t>32285000330158</t>
        </is>
      </c>
      <c r="BF563" t="inlineStr">
        <is>
          <t>893524605</t>
        </is>
      </c>
    </row>
    <row r="564">
      <c r="A564" t="inlineStr">
        <is>
          <t>No</t>
        </is>
      </c>
      <c r="B564" t="inlineStr">
        <is>
          <t>CURAL</t>
        </is>
      </c>
      <c r="C564" t="inlineStr">
        <is>
          <t>SHELVES</t>
        </is>
      </c>
      <c r="D564" t="inlineStr">
        <is>
          <t>BL80.2 .B8</t>
        </is>
      </c>
      <c r="E564" t="inlineStr">
        <is>
          <t>0                      BL 0080200B  8</t>
        </is>
      </c>
      <c r="F564" t="inlineStr">
        <is>
          <t>Man seeks the divine.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No</t>
        </is>
      </c>
      <c r="L564" t="inlineStr">
        <is>
          <t>0</t>
        </is>
      </c>
      <c r="M564" t="inlineStr">
        <is>
          <t>Burtt, Edwin A. (Edwin Arthur), 1892-1989.</t>
        </is>
      </c>
      <c r="N564" t="inlineStr">
        <is>
          <t>New York, Harper &amp; Row [1964]</t>
        </is>
      </c>
      <c r="O564" t="inlineStr">
        <is>
          <t>1964</t>
        </is>
      </c>
      <c r="P564" t="inlineStr">
        <is>
          <t>2d ed.</t>
        </is>
      </c>
      <c r="Q564" t="inlineStr">
        <is>
          <t>eng</t>
        </is>
      </c>
      <c r="R564" t="inlineStr">
        <is>
          <t>___</t>
        </is>
      </c>
      <c r="T564" t="inlineStr">
        <is>
          <t xml:space="preserve">BL </t>
        </is>
      </c>
      <c r="U564" t="n">
        <v>1</v>
      </c>
      <c r="V564" t="n">
        <v>1</v>
      </c>
      <c r="W564" t="inlineStr">
        <is>
          <t>2001-04-01</t>
        </is>
      </c>
      <c r="X564" t="inlineStr">
        <is>
          <t>2001-04-01</t>
        </is>
      </c>
      <c r="Y564" t="inlineStr">
        <is>
          <t>1990-10-02</t>
        </is>
      </c>
      <c r="Z564" t="inlineStr">
        <is>
          <t>1990-10-02</t>
        </is>
      </c>
      <c r="AA564" t="n">
        <v>447</v>
      </c>
      <c r="AB564" t="n">
        <v>400</v>
      </c>
      <c r="AC564" t="n">
        <v>802</v>
      </c>
      <c r="AD564" t="n">
        <v>3</v>
      </c>
      <c r="AE564" t="n">
        <v>5</v>
      </c>
      <c r="AF564" t="n">
        <v>20</v>
      </c>
      <c r="AG564" t="n">
        <v>29</v>
      </c>
      <c r="AH564" t="n">
        <v>9</v>
      </c>
      <c r="AI564" t="n">
        <v>11</v>
      </c>
      <c r="AJ564" t="n">
        <v>4</v>
      </c>
      <c r="AK564" t="n">
        <v>7</v>
      </c>
      <c r="AL564" t="n">
        <v>10</v>
      </c>
      <c r="AM564" t="n">
        <v>14</v>
      </c>
      <c r="AN564" t="n">
        <v>2</v>
      </c>
      <c r="AO564" t="n">
        <v>4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HYPERLINK("http://catalog.hathitrust.org/Record/101870438","HathiTrust Record")</f>
        <v/>
      </c>
      <c r="AU564">
        <f>HYPERLINK("https://creighton-primo.hosted.exlibrisgroup.com/primo-explore/search?tab=default_tab&amp;search_scope=EVERYTHING&amp;vid=01CRU&amp;lang=en_US&amp;offset=0&amp;query=any,contains,991002572909702656","Catalog Record")</f>
        <v/>
      </c>
      <c r="AV564">
        <f>HYPERLINK("http://www.worldcat.org/oclc/374149","WorldCat Record")</f>
        <v/>
      </c>
      <c r="AW564" t="inlineStr">
        <is>
          <t>366030765:eng</t>
        </is>
      </c>
      <c r="AX564" t="inlineStr">
        <is>
          <t>374149</t>
        </is>
      </c>
      <c r="AY564" t="inlineStr">
        <is>
          <t>991002572909702656</t>
        </is>
      </c>
      <c r="AZ564" t="inlineStr">
        <is>
          <t>991002572909702656</t>
        </is>
      </c>
      <c r="BA564" t="inlineStr">
        <is>
          <t>2262136280002656</t>
        </is>
      </c>
      <c r="BB564" t="inlineStr">
        <is>
          <t>BOOK</t>
        </is>
      </c>
      <c r="BE564" t="inlineStr">
        <is>
          <t>32285000330166</t>
        </is>
      </c>
      <c r="BF564" t="inlineStr">
        <is>
          <t>893903973</t>
        </is>
      </c>
    </row>
    <row r="565">
      <c r="A565" t="inlineStr">
        <is>
          <t>No</t>
        </is>
      </c>
      <c r="B565" t="inlineStr">
        <is>
          <t>CURAL</t>
        </is>
      </c>
      <c r="C565" t="inlineStr">
        <is>
          <t>SHELVES</t>
        </is>
      </c>
      <c r="D565" t="inlineStr">
        <is>
          <t>BL80.2 .C335 1991</t>
        </is>
      </c>
      <c r="E565" t="inlineStr">
        <is>
          <t>0                      BL 0080200C  335         1991</t>
        </is>
      </c>
      <c r="F565" t="inlineStr">
        <is>
          <t>Catholic spirituality and the history of religions / Denise Lardner Carmody and John Tully Carmody.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No</t>
        </is>
      </c>
      <c r="L565" t="inlineStr">
        <is>
          <t>0</t>
        </is>
      </c>
      <c r="M565" t="inlineStr">
        <is>
          <t>Carmody, Denise Lardner, 1935-</t>
        </is>
      </c>
      <c r="N565" t="inlineStr">
        <is>
          <t>New York : Paulist Press, c1991.</t>
        </is>
      </c>
      <c r="O565" t="inlineStr">
        <is>
          <t>1991</t>
        </is>
      </c>
      <c r="Q565" t="inlineStr">
        <is>
          <t>eng</t>
        </is>
      </c>
      <c r="R565" t="inlineStr">
        <is>
          <t>nyu</t>
        </is>
      </c>
      <c r="S565" t="inlineStr">
        <is>
          <t>Catholic spirituality in global perspective ; v. 2</t>
        </is>
      </c>
      <c r="T565" t="inlineStr">
        <is>
          <t xml:space="preserve">BL </t>
        </is>
      </c>
      <c r="U565" t="n">
        <v>3</v>
      </c>
      <c r="V565" t="n">
        <v>3</v>
      </c>
      <c r="W565" t="inlineStr">
        <is>
          <t>2005-10-13</t>
        </is>
      </c>
      <c r="X565" t="inlineStr">
        <is>
          <t>2005-10-13</t>
        </is>
      </c>
      <c r="Y565" t="inlineStr">
        <is>
          <t>1992-03-31</t>
        </is>
      </c>
      <c r="Z565" t="inlineStr">
        <is>
          <t>1992-03-31</t>
        </is>
      </c>
      <c r="AA565" t="n">
        <v>196</v>
      </c>
      <c r="AB565" t="n">
        <v>158</v>
      </c>
      <c r="AC565" t="n">
        <v>159</v>
      </c>
      <c r="AD565" t="n">
        <v>2</v>
      </c>
      <c r="AE565" t="n">
        <v>2</v>
      </c>
      <c r="AF565" t="n">
        <v>15</v>
      </c>
      <c r="AG565" t="n">
        <v>15</v>
      </c>
      <c r="AH565" t="n">
        <v>2</v>
      </c>
      <c r="AI565" t="n">
        <v>2</v>
      </c>
      <c r="AJ565" t="n">
        <v>6</v>
      </c>
      <c r="AK565" t="n">
        <v>6</v>
      </c>
      <c r="AL565" t="n">
        <v>10</v>
      </c>
      <c r="AM565" t="n">
        <v>10</v>
      </c>
      <c r="AN565" t="n">
        <v>1</v>
      </c>
      <c r="AO565" t="n">
        <v>1</v>
      </c>
      <c r="AP565" t="n">
        <v>0</v>
      </c>
      <c r="AQ565" t="n">
        <v>0</v>
      </c>
      <c r="AR565" t="inlineStr">
        <is>
          <t>No</t>
        </is>
      </c>
      <c r="AS565" t="inlineStr">
        <is>
          <t>Yes</t>
        </is>
      </c>
      <c r="AT565">
        <f>HYPERLINK("http://catalog.hathitrust.org/Record/006015981","HathiTrust Record")</f>
        <v/>
      </c>
      <c r="AU565">
        <f>HYPERLINK("https://creighton-primo.hosted.exlibrisgroup.com/primo-explore/search?tab=default_tab&amp;search_scope=EVERYTHING&amp;vid=01CRU&amp;lang=en_US&amp;offset=0&amp;query=any,contains,991001915399702656","Catalog Record")</f>
        <v/>
      </c>
      <c r="AV565">
        <f>HYPERLINK("http://www.worldcat.org/oclc/24174840","WorldCat Record")</f>
        <v/>
      </c>
      <c r="AW565" t="inlineStr">
        <is>
          <t>26478154:eng</t>
        </is>
      </c>
      <c r="AX565" t="inlineStr">
        <is>
          <t>24174840</t>
        </is>
      </c>
      <c r="AY565" t="inlineStr">
        <is>
          <t>991001915399702656</t>
        </is>
      </c>
      <c r="AZ565" t="inlineStr">
        <is>
          <t>991001915399702656</t>
        </is>
      </c>
      <c r="BA565" t="inlineStr">
        <is>
          <t>2269606910002656</t>
        </is>
      </c>
      <c r="BB565" t="inlineStr">
        <is>
          <t>BOOK</t>
        </is>
      </c>
      <c r="BD565" t="inlineStr">
        <is>
          <t>9780809132850</t>
        </is>
      </c>
      <c r="BE565" t="inlineStr">
        <is>
          <t>32285001007029</t>
        </is>
      </c>
      <c r="BF565" t="inlineStr">
        <is>
          <t>893804001</t>
        </is>
      </c>
    </row>
    <row r="566">
      <c r="A566" t="inlineStr">
        <is>
          <t>No</t>
        </is>
      </c>
      <c r="B566" t="inlineStr">
        <is>
          <t>CURAL</t>
        </is>
      </c>
      <c r="C566" t="inlineStr">
        <is>
          <t>SHELVES</t>
        </is>
      </c>
      <c r="D566" t="inlineStr">
        <is>
          <t>BL80.2 .C344 1987</t>
        </is>
      </c>
      <c r="E566" t="inlineStr">
        <is>
          <t>0                      BL 0080200C  344         1987</t>
        </is>
      </c>
      <c r="F566" t="inlineStr">
        <is>
          <t>Interpreting the religious experience : a worldview / John Carmody, Denise Lardner Carmody.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M566" t="inlineStr">
        <is>
          <t>Carmody, John, 1939-</t>
        </is>
      </c>
      <c r="N566" t="inlineStr">
        <is>
          <t>Englewood Cliffs, N.J. : Prentice-Hall, c1987.</t>
        </is>
      </c>
      <c r="O566" t="inlineStr">
        <is>
          <t>1987</t>
        </is>
      </c>
      <c r="Q566" t="inlineStr">
        <is>
          <t>eng</t>
        </is>
      </c>
      <c r="R566" t="inlineStr">
        <is>
          <t>nju</t>
        </is>
      </c>
      <c r="T566" t="inlineStr">
        <is>
          <t xml:space="preserve">BL </t>
        </is>
      </c>
      <c r="U566" t="n">
        <v>5</v>
      </c>
      <c r="V566" t="n">
        <v>5</v>
      </c>
      <c r="W566" t="inlineStr">
        <is>
          <t>1996-06-07</t>
        </is>
      </c>
      <c r="X566" t="inlineStr">
        <is>
          <t>1996-06-07</t>
        </is>
      </c>
      <c r="Y566" t="inlineStr">
        <is>
          <t>1990-10-02</t>
        </is>
      </c>
      <c r="Z566" t="inlineStr">
        <is>
          <t>1990-10-02</t>
        </is>
      </c>
      <c r="AA566" t="n">
        <v>174</v>
      </c>
      <c r="AB566" t="n">
        <v>129</v>
      </c>
      <c r="AC566" t="n">
        <v>130</v>
      </c>
      <c r="AD566" t="n">
        <v>2</v>
      </c>
      <c r="AE566" t="n">
        <v>2</v>
      </c>
      <c r="AF566" t="n">
        <v>12</v>
      </c>
      <c r="AG566" t="n">
        <v>12</v>
      </c>
      <c r="AH566" t="n">
        <v>2</v>
      </c>
      <c r="AI566" t="n">
        <v>2</v>
      </c>
      <c r="AJ566" t="n">
        <v>3</v>
      </c>
      <c r="AK566" t="n">
        <v>3</v>
      </c>
      <c r="AL566" t="n">
        <v>10</v>
      </c>
      <c r="AM566" t="n">
        <v>10</v>
      </c>
      <c r="AN566" t="n">
        <v>1</v>
      </c>
      <c r="AO566" t="n">
        <v>1</v>
      </c>
      <c r="AP566" t="n">
        <v>0</v>
      </c>
      <c r="AQ566" t="n">
        <v>0</v>
      </c>
      <c r="AR566" t="inlineStr">
        <is>
          <t>No</t>
        </is>
      </c>
      <c r="AS566" t="inlineStr">
        <is>
          <t>Yes</t>
        </is>
      </c>
      <c r="AT566">
        <f>HYPERLINK("http://catalog.hathitrust.org/Record/102083454","HathiTrust Record")</f>
        <v/>
      </c>
      <c r="AU566">
        <f>HYPERLINK("https://creighton-primo.hosted.exlibrisgroup.com/primo-explore/search?tab=default_tab&amp;search_scope=EVERYTHING&amp;vid=01CRU&amp;lang=en_US&amp;offset=0&amp;query=any,contains,991000870669702656","Catalog Record")</f>
        <v/>
      </c>
      <c r="AV566">
        <f>HYPERLINK("http://www.worldcat.org/oclc/13792443","WorldCat Record")</f>
        <v/>
      </c>
      <c r="AW566" t="inlineStr">
        <is>
          <t>2486862922:eng</t>
        </is>
      </c>
      <c r="AX566" t="inlineStr">
        <is>
          <t>13792443</t>
        </is>
      </c>
      <c r="AY566" t="inlineStr">
        <is>
          <t>991000870669702656</t>
        </is>
      </c>
      <c r="AZ566" t="inlineStr">
        <is>
          <t>991000870669702656</t>
        </is>
      </c>
      <c r="BA566" t="inlineStr">
        <is>
          <t>2272792320002656</t>
        </is>
      </c>
      <c r="BB566" t="inlineStr">
        <is>
          <t>BOOK</t>
        </is>
      </c>
      <c r="BD566" t="inlineStr">
        <is>
          <t>9780134756097</t>
        </is>
      </c>
      <c r="BE566" t="inlineStr">
        <is>
          <t>32285000330174</t>
        </is>
      </c>
      <c r="BF566" t="inlineStr">
        <is>
          <t>893790936</t>
        </is>
      </c>
    </row>
    <row r="567">
      <c r="A567" t="inlineStr">
        <is>
          <t>No</t>
        </is>
      </c>
      <c r="B567" t="inlineStr">
        <is>
          <t>CURAL</t>
        </is>
      </c>
      <c r="C567" t="inlineStr">
        <is>
          <t>SHELVES</t>
        </is>
      </c>
      <c r="D567" t="inlineStr">
        <is>
          <t>BL80.2 .C367</t>
        </is>
      </c>
      <c r="E567" t="inlineStr">
        <is>
          <t>0                      BL 0080200C  367</t>
        </is>
      </c>
      <c r="F567" t="inlineStr">
        <is>
          <t>What are they saying about non-Christian faith? / Denise Lardner Carmody.</t>
        </is>
      </c>
      <c r="H567" t="inlineStr">
        <is>
          <t>No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M567" t="inlineStr">
        <is>
          <t>Carmody, Denise Lardner, 1935-</t>
        </is>
      </c>
      <c r="N567" t="inlineStr">
        <is>
          <t>New York : Paulist Press, c1982.</t>
        </is>
      </c>
      <c r="O567" t="inlineStr">
        <is>
          <t>1982</t>
        </is>
      </c>
      <c r="Q567" t="inlineStr">
        <is>
          <t>eng</t>
        </is>
      </c>
      <c r="R567" t="inlineStr">
        <is>
          <t>nyu</t>
        </is>
      </c>
      <c r="T567" t="inlineStr">
        <is>
          <t xml:space="preserve">BL </t>
        </is>
      </c>
      <c r="U567" t="n">
        <v>1</v>
      </c>
      <c r="V567" t="n">
        <v>1</v>
      </c>
      <c r="W567" t="inlineStr">
        <is>
          <t>1995-09-03</t>
        </is>
      </c>
      <c r="X567" t="inlineStr">
        <is>
          <t>1995-09-03</t>
        </is>
      </c>
      <c r="Y567" t="inlineStr">
        <is>
          <t>1990-10-02</t>
        </is>
      </c>
      <c r="Z567" t="inlineStr">
        <is>
          <t>1990-10-02</t>
        </is>
      </c>
      <c r="AA567" t="n">
        <v>263</v>
      </c>
      <c r="AB567" t="n">
        <v>225</v>
      </c>
      <c r="AC567" t="n">
        <v>230</v>
      </c>
      <c r="AD567" t="n">
        <v>1</v>
      </c>
      <c r="AE567" t="n">
        <v>1</v>
      </c>
      <c r="AF567" t="n">
        <v>31</v>
      </c>
      <c r="AG567" t="n">
        <v>31</v>
      </c>
      <c r="AH567" t="n">
        <v>12</v>
      </c>
      <c r="AI567" t="n">
        <v>12</v>
      </c>
      <c r="AJ567" t="n">
        <v>7</v>
      </c>
      <c r="AK567" t="n">
        <v>7</v>
      </c>
      <c r="AL567" t="n">
        <v>22</v>
      </c>
      <c r="AM567" t="n">
        <v>22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HYPERLINK("https://creighton-primo.hosted.exlibrisgroup.com/primo-explore/search?tab=default_tab&amp;search_scope=EVERYTHING&amp;vid=01CRU&amp;lang=en_US&amp;offset=0&amp;query=any,contains,991000069429702656","Catalog Record")</f>
        <v/>
      </c>
      <c r="AV567">
        <f>HYPERLINK("http://www.worldcat.org/oclc/8772791","WorldCat Record")</f>
        <v/>
      </c>
      <c r="AW567" t="inlineStr">
        <is>
          <t>466334:eng</t>
        </is>
      </c>
      <c r="AX567" t="inlineStr">
        <is>
          <t>8772791</t>
        </is>
      </c>
      <c r="AY567" t="inlineStr">
        <is>
          <t>991000069429702656</t>
        </is>
      </c>
      <c r="AZ567" t="inlineStr">
        <is>
          <t>991000069429702656</t>
        </is>
      </c>
      <c r="BA567" t="inlineStr">
        <is>
          <t>2270185290002656</t>
        </is>
      </c>
      <c r="BB567" t="inlineStr">
        <is>
          <t>BOOK</t>
        </is>
      </c>
      <c r="BD567" t="inlineStr">
        <is>
          <t>9780809124329</t>
        </is>
      </c>
      <c r="BE567" t="inlineStr">
        <is>
          <t>32285000330182</t>
        </is>
      </c>
      <c r="BF567" t="inlineStr">
        <is>
          <t>893689378</t>
        </is>
      </c>
    </row>
    <row r="568">
      <c r="A568" t="inlineStr">
        <is>
          <t>No</t>
        </is>
      </c>
      <c r="B568" t="inlineStr">
        <is>
          <t>CURAL</t>
        </is>
      </c>
      <c r="C568" t="inlineStr">
        <is>
          <t>SHELVES</t>
        </is>
      </c>
      <c r="D568" t="inlineStr">
        <is>
          <t>BL80.2 .C37</t>
        </is>
      </c>
      <c r="E568" t="inlineStr">
        <is>
          <t>0                      BL 0080200C  37</t>
        </is>
      </c>
      <c r="F568" t="inlineStr">
        <is>
          <t>The way people pray : an introduction to the history of religions / by John T. Catoir.</t>
        </is>
      </c>
      <c r="H568" t="inlineStr">
        <is>
          <t>No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M568" t="inlineStr">
        <is>
          <t>Catoir, John T.</t>
        </is>
      </c>
      <c r="N568" t="inlineStr">
        <is>
          <t>New York : Paulist Press, [1974]</t>
        </is>
      </c>
      <c r="O568" t="inlineStr">
        <is>
          <t>1974</t>
        </is>
      </c>
      <c r="Q568" t="inlineStr">
        <is>
          <t>eng</t>
        </is>
      </c>
      <c r="R568" t="inlineStr">
        <is>
          <t>nyu</t>
        </is>
      </c>
      <c r="S568" t="inlineStr">
        <is>
          <t>Deus books</t>
        </is>
      </c>
      <c r="T568" t="inlineStr">
        <is>
          <t xml:space="preserve">BL </t>
        </is>
      </c>
      <c r="U568" t="n">
        <v>3</v>
      </c>
      <c r="V568" t="n">
        <v>3</v>
      </c>
      <c r="W568" t="inlineStr">
        <is>
          <t>2002-09-03</t>
        </is>
      </c>
      <c r="X568" t="inlineStr">
        <is>
          <t>2002-09-03</t>
        </is>
      </c>
      <c r="Y568" t="inlineStr">
        <is>
          <t>1990-10-23</t>
        </is>
      </c>
      <c r="Z568" t="inlineStr">
        <is>
          <t>1990-10-23</t>
        </is>
      </c>
      <c r="AA568" t="n">
        <v>101</v>
      </c>
      <c r="AB568" t="n">
        <v>92</v>
      </c>
      <c r="AC568" t="n">
        <v>92</v>
      </c>
      <c r="AD568" t="n">
        <v>1</v>
      </c>
      <c r="AE568" t="n">
        <v>1</v>
      </c>
      <c r="AF568" t="n">
        <v>9</v>
      </c>
      <c r="AG568" t="n">
        <v>9</v>
      </c>
      <c r="AH568" t="n">
        <v>2</v>
      </c>
      <c r="AI568" t="n">
        <v>2</v>
      </c>
      <c r="AJ568" t="n">
        <v>2</v>
      </c>
      <c r="AK568" t="n">
        <v>2</v>
      </c>
      <c r="AL568" t="n">
        <v>7</v>
      </c>
      <c r="AM568" t="n">
        <v>7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HYPERLINK("https://creighton-primo.hosted.exlibrisgroup.com/primo-explore/search?tab=default_tab&amp;search_scope=EVERYTHING&amp;vid=01CRU&amp;lang=en_US&amp;offset=0&amp;query=any,contains,991003316889702656","Catalog Record")</f>
        <v/>
      </c>
      <c r="AV568">
        <f>HYPERLINK("http://www.worldcat.org/oclc/841484","WorldCat Record")</f>
        <v/>
      </c>
      <c r="AW568" t="inlineStr">
        <is>
          <t>1104026713:eng</t>
        </is>
      </c>
      <c r="AX568" t="inlineStr">
        <is>
          <t>841484</t>
        </is>
      </c>
      <c r="AY568" t="inlineStr">
        <is>
          <t>991003316889702656</t>
        </is>
      </c>
      <c r="AZ568" t="inlineStr">
        <is>
          <t>991003316889702656</t>
        </is>
      </c>
      <c r="BA568" t="inlineStr">
        <is>
          <t>2265082040002656</t>
        </is>
      </c>
      <c r="BB568" t="inlineStr">
        <is>
          <t>BOOK</t>
        </is>
      </c>
      <c r="BD568" t="inlineStr">
        <is>
          <t>9780809118052</t>
        </is>
      </c>
      <c r="BE568" t="inlineStr">
        <is>
          <t>32285000312479</t>
        </is>
      </c>
      <c r="BF568" t="inlineStr">
        <is>
          <t>893623370</t>
        </is>
      </c>
    </row>
    <row r="569">
      <c r="A569" t="inlineStr">
        <is>
          <t>No</t>
        </is>
      </c>
      <c r="B569" t="inlineStr">
        <is>
          <t>CURAL</t>
        </is>
      </c>
      <c r="C569" t="inlineStr">
        <is>
          <t>SHELVES</t>
        </is>
      </c>
      <c r="D569" t="inlineStr">
        <is>
          <t>BL80.2 .C38 1980</t>
        </is>
      </c>
      <c r="E569" t="inlineStr">
        <is>
          <t>0                      BL 0080200C  38          1980</t>
        </is>
      </c>
      <c r="F569" t="inlineStr">
        <is>
          <t>The great religions / Richard Cavendish.</t>
        </is>
      </c>
      <c r="H569" t="inlineStr">
        <is>
          <t>No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M569" t="inlineStr">
        <is>
          <t>Cavendish, Richard.</t>
        </is>
      </c>
      <c r="N569" t="inlineStr">
        <is>
          <t>New York : Arco Pub., c1980.</t>
        </is>
      </c>
      <c r="O569" t="inlineStr">
        <is>
          <t>1980</t>
        </is>
      </c>
      <c r="Q569" t="inlineStr">
        <is>
          <t>eng</t>
        </is>
      </c>
      <c r="R569" t="inlineStr">
        <is>
          <t>nyu</t>
        </is>
      </c>
      <c r="T569" t="inlineStr">
        <is>
          <t xml:space="preserve">BL </t>
        </is>
      </c>
      <c r="U569" t="n">
        <v>5</v>
      </c>
      <c r="V569" t="n">
        <v>5</v>
      </c>
      <c r="W569" t="inlineStr">
        <is>
          <t>1995-10-18</t>
        </is>
      </c>
      <c r="X569" t="inlineStr">
        <is>
          <t>1995-10-18</t>
        </is>
      </c>
      <c r="Y569" t="inlineStr">
        <is>
          <t>1993-06-24</t>
        </is>
      </c>
      <c r="Z569" t="inlineStr">
        <is>
          <t>1993-06-24</t>
        </is>
      </c>
      <c r="AA569" t="n">
        <v>857</v>
      </c>
      <c r="AB569" t="n">
        <v>784</v>
      </c>
      <c r="AC569" t="n">
        <v>792</v>
      </c>
      <c r="AD569" t="n">
        <v>4</v>
      </c>
      <c r="AE569" t="n">
        <v>4</v>
      </c>
      <c r="AF569" t="n">
        <v>22</v>
      </c>
      <c r="AG569" t="n">
        <v>22</v>
      </c>
      <c r="AH569" t="n">
        <v>8</v>
      </c>
      <c r="AI569" t="n">
        <v>8</v>
      </c>
      <c r="AJ569" t="n">
        <v>6</v>
      </c>
      <c r="AK569" t="n">
        <v>6</v>
      </c>
      <c r="AL569" t="n">
        <v>10</v>
      </c>
      <c r="AM569" t="n">
        <v>10</v>
      </c>
      <c r="AN569" t="n">
        <v>3</v>
      </c>
      <c r="AO569" t="n">
        <v>3</v>
      </c>
      <c r="AP569" t="n">
        <v>0</v>
      </c>
      <c r="AQ569" t="n">
        <v>0</v>
      </c>
      <c r="AR569" t="inlineStr">
        <is>
          <t>No</t>
        </is>
      </c>
      <c r="AS569" t="inlineStr">
        <is>
          <t>Yes</t>
        </is>
      </c>
      <c r="AT569">
        <f>HYPERLINK("http://catalog.hathitrust.org/Record/000224893","HathiTrust Record")</f>
        <v/>
      </c>
      <c r="AU569">
        <f>HYPERLINK("https://creighton-primo.hosted.exlibrisgroup.com/primo-explore/search?tab=default_tab&amp;search_scope=EVERYTHING&amp;vid=01CRU&amp;lang=en_US&amp;offset=0&amp;query=any,contains,991004903439702656","Catalog Record")</f>
        <v/>
      </c>
      <c r="AV569">
        <f>HYPERLINK("http://www.worldcat.org/oclc/5942643","WorldCat Record")</f>
        <v/>
      </c>
      <c r="AW569" t="inlineStr">
        <is>
          <t>514496:eng</t>
        </is>
      </c>
      <c r="AX569" t="inlineStr">
        <is>
          <t>5942643</t>
        </is>
      </c>
      <c r="AY569" t="inlineStr">
        <is>
          <t>991004903439702656</t>
        </is>
      </c>
      <c r="AZ569" t="inlineStr">
        <is>
          <t>991004903439702656</t>
        </is>
      </c>
      <c r="BA569" t="inlineStr">
        <is>
          <t>2270602230002656</t>
        </is>
      </c>
      <c r="BB569" t="inlineStr">
        <is>
          <t>BOOK</t>
        </is>
      </c>
      <c r="BD569" t="inlineStr">
        <is>
          <t>9780668049290</t>
        </is>
      </c>
      <c r="BE569" t="inlineStr">
        <is>
          <t>32285001732154</t>
        </is>
      </c>
      <c r="BF569" t="inlineStr">
        <is>
          <t>893807610</t>
        </is>
      </c>
    </row>
    <row r="570">
      <c r="A570" t="inlineStr">
        <is>
          <t>No</t>
        </is>
      </c>
      <c r="B570" t="inlineStr">
        <is>
          <t>CURAL</t>
        </is>
      </c>
      <c r="C570" t="inlineStr">
        <is>
          <t>SHELVES</t>
        </is>
      </c>
      <c r="D570" t="inlineStr">
        <is>
          <t>BL80.2 .C527</t>
        </is>
      </c>
      <c r="E570" t="inlineStr">
        <is>
          <t>0                      BL 0080200C  527</t>
        </is>
      </c>
      <c r="F570" t="inlineStr">
        <is>
          <t>Oppositions of religious doctrines; a study in the logic of dialogue among religions [by] William A. Christian.</t>
        </is>
      </c>
      <c r="H570" t="inlineStr">
        <is>
          <t>No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M570" t="inlineStr">
        <is>
          <t>Christian, William A., 1905-</t>
        </is>
      </c>
      <c r="N570" t="inlineStr">
        <is>
          <t>[New York] Herder and Herder [1972]</t>
        </is>
      </c>
      <c r="O570" t="inlineStr">
        <is>
          <t>1972</t>
        </is>
      </c>
      <c r="Q570" t="inlineStr">
        <is>
          <t>eng</t>
        </is>
      </c>
      <c r="R570" t="inlineStr">
        <is>
          <t>nyu</t>
        </is>
      </c>
      <c r="S570" t="inlineStr">
        <is>
          <t>Philosophy of religion series</t>
        </is>
      </c>
      <c r="T570" t="inlineStr">
        <is>
          <t xml:space="preserve">BL </t>
        </is>
      </c>
      <c r="U570" t="n">
        <v>4</v>
      </c>
      <c r="V570" t="n">
        <v>4</v>
      </c>
      <c r="W570" t="inlineStr">
        <is>
          <t>1995-04-11</t>
        </is>
      </c>
      <c r="X570" t="inlineStr">
        <is>
          <t>1995-04-11</t>
        </is>
      </c>
      <c r="Y570" t="inlineStr">
        <is>
          <t>1990-10-02</t>
        </is>
      </c>
      <c r="Z570" t="inlineStr">
        <is>
          <t>1990-10-02</t>
        </is>
      </c>
      <c r="AA570" t="n">
        <v>332</v>
      </c>
      <c r="AB570" t="n">
        <v>299</v>
      </c>
      <c r="AC570" t="n">
        <v>348</v>
      </c>
      <c r="AD570" t="n">
        <v>3</v>
      </c>
      <c r="AE570" t="n">
        <v>3</v>
      </c>
      <c r="AF570" t="n">
        <v>19</v>
      </c>
      <c r="AG570" t="n">
        <v>24</v>
      </c>
      <c r="AH570" t="n">
        <v>3</v>
      </c>
      <c r="AI570" t="n">
        <v>4</v>
      </c>
      <c r="AJ570" t="n">
        <v>8</v>
      </c>
      <c r="AK570" t="n">
        <v>10</v>
      </c>
      <c r="AL570" t="n">
        <v>11</v>
      </c>
      <c r="AM570" t="n">
        <v>15</v>
      </c>
      <c r="AN570" t="n">
        <v>2</v>
      </c>
      <c r="AO570" t="n">
        <v>2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HYPERLINK("https://creighton-primo.hosted.exlibrisgroup.com/primo-explore/search?tab=default_tab&amp;search_scope=EVERYTHING&amp;vid=01CRU&amp;lang=en_US&amp;offset=0&amp;query=any,contains,991002395119702656","Catalog Record")</f>
        <v/>
      </c>
      <c r="AV570">
        <f>HYPERLINK("http://www.worldcat.org/oclc/334361","WorldCat Record")</f>
        <v/>
      </c>
      <c r="AW570" t="inlineStr">
        <is>
          <t>1448197:eng</t>
        </is>
      </c>
      <c r="AX570" t="inlineStr">
        <is>
          <t>334361</t>
        </is>
      </c>
      <c r="AY570" t="inlineStr">
        <is>
          <t>991002395119702656</t>
        </is>
      </c>
      <c r="AZ570" t="inlineStr">
        <is>
          <t>991002395119702656</t>
        </is>
      </c>
      <c r="BA570" t="inlineStr">
        <is>
          <t>2257312460002656</t>
        </is>
      </c>
      <c r="BB570" t="inlineStr">
        <is>
          <t>BOOK</t>
        </is>
      </c>
      <c r="BE570" t="inlineStr">
        <is>
          <t>32285000330208</t>
        </is>
      </c>
      <c r="BF570" t="inlineStr">
        <is>
          <t>893609806</t>
        </is>
      </c>
    </row>
    <row r="571">
      <c r="A571" t="inlineStr">
        <is>
          <t>No</t>
        </is>
      </c>
      <c r="B571" t="inlineStr">
        <is>
          <t>CURAL</t>
        </is>
      </c>
      <c r="C571" t="inlineStr">
        <is>
          <t>SHELVES</t>
        </is>
      </c>
      <c r="D571" t="inlineStr">
        <is>
          <t>BL80.2 .E45</t>
        </is>
      </c>
      <c r="E571" t="inlineStr">
        <is>
          <t>0                      BL 0080200E  45</t>
        </is>
      </c>
      <c r="F571" t="inlineStr">
        <is>
          <t>Many peoples, many faiths : an introduction to the religious life of mankind / Robert S. Ellwood, Jr.</t>
        </is>
      </c>
      <c r="H571" t="inlineStr">
        <is>
          <t>No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M571" t="inlineStr">
        <is>
          <t>Ellwood, Robert S., 1933-</t>
        </is>
      </c>
      <c r="N571" t="inlineStr">
        <is>
          <t>Englewood Cliffs, N.J. : Prentice-Hall, c1976.</t>
        </is>
      </c>
      <c r="O571" t="inlineStr">
        <is>
          <t>1976</t>
        </is>
      </c>
      <c r="Q571" t="inlineStr">
        <is>
          <t>eng</t>
        </is>
      </c>
      <c r="R571" t="inlineStr">
        <is>
          <t>nju</t>
        </is>
      </c>
      <c r="T571" t="inlineStr">
        <is>
          <t xml:space="preserve">BL </t>
        </is>
      </c>
      <c r="U571" t="n">
        <v>8</v>
      </c>
      <c r="V571" t="n">
        <v>8</v>
      </c>
      <c r="W571" t="inlineStr">
        <is>
          <t>1995-10-18</t>
        </is>
      </c>
      <c r="X571" t="inlineStr">
        <is>
          <t>1995-10-18</t>
        </is>
      </c>
      <c r="Y571" t="inlineStr">
        <is>
          <t>1990-10-02</t>
        </is>
      </c>
      <c r="Z571" t="inlineStr">
        <is>
          <t>1990-10-02</t>
        </is>
      </c>
      <c r="AA571" t="n">
        <v>386</v>
      </c>
      <c r="AB571" t="n">
        <v>347</v>
      </c>
      <c r="AC571" t="n">
        <v>687</v>
      </c>
      <c r="AD571" t="n">
        <v>4</v>
      </c>
      <c r="AE571" t="n">
        <v>5</v>
      </c>
      <c r="AF571" t="n">
        <v>17</v>
      </c>
      <c r="AG571" t="n">
        <v>28</v>
      </c>
      <c r="AH571" t="n">
        <v>7</v>
      </c>
      <c r="AI571" t="n">
        <v>13</v>
      </c>
      <c r="AJ571" t="n">
        <v>3</v>
      </c>
      <c r="AK571" t="n">
        <v>5</v>
      </c>
      <c r="AL571" t="n">
        <v>9</v>
      </c>
      <c r="AM571" t="n">
        <v>17</v>
      </c>
      <c r="AN571" t="n">
        <v>2</v>
      </c>
      <c r="AO571" t="n">
        <v>2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HYPERLINK("https://creighton-primo.hosted.exlibrisgroup.com/primo-explore/search?tab=default_tab&amp;search_scope=EVERYTHING&amp;vid=01CRU&amp;lang=en_US&amp;offset=0&amp;query=any,contains,991003916259702656","Catalog Record")</f>
        <v/>
      </c>
      <c r="AV571">
        <f>HYPERLINK("http://www.worldcat.org/oclc/1859904","WorldCat Record")</f>
        <v/>
      </c>
      <c r="AW571" t="inlineStr">
        <is>
          <t>2286837311:eng</t>
        </is>
      </c>
      <c r="AX571" t="inlineStr">
        <is>
          <t>1859904</t>
        </is>
      </c>
      <c r="AY571" t="inlineStr">
        <is>
          <t>991003916259702656</t>
        </is>
      </c>
      <c r="AZ571" t="inlineStr">
        <is>
          <t>991003916259702656</t>
        </is>
      </c>
      <c r="BA571" t="inlineStr">
        <is>
          <t>2268810000002656</t>
        </is>
      </c>
      <c r="BB571" t="inlineStr">
        <is>
          <t>BOOK</t>
        </is>
      </c>
      <c r="BD571" t="inlineStr">
        <is>
          <t>9780135559956</t>
        </is>
      </c>
      <c r="BE571" t="inlineStr">
        <is>
          <t>32285000330232</t>
        </is>
      </c>
      <c r="BF571" t="inlineStr">
        <is>
          <t>893705773</t>
        </is>
      </c>
    </row>
    <row r="572">
      <c r="A572" t="inlineStr">
        <is>
          <t>No</t>
        </is>
      </c>
      <c r="B572" t="inlineStr">
        <is>
          <t>CURAL</t>
        </is>
      </c>
      <c r="C572" t="inlineStr">
        <is>
          <t>SHELVES</t>
        </is>
      </c>
      <c r="D572" t="inlineStr">
        <is>
          <t>BL80.2 .F7</t>
        </is>
      </c>
      <c r="E572" t="inlineStr">
        <is>
          <t>0                      BL 0080200F  7</t>
        </is>
      </c>
      <c r="F572" t="inlineStr">
        <is>
          <t>Readings in Eastern religious thought. Edited by Allie M. Frazier.</t>
        </is>
      </c>
      <c r="H572" t="inlineStr">
        <is>
          <t>Yes</t>
        </is>
      </c>
      <c r="I572" t="inlineStr">
        <is>
          <t>1</t>
        </is>
      </c>
      <c r="J572" t="inlineStr">
        <is>
          <t>Yes</t>
        </is>
      </c>
      <c r="K572" t="inlineStr">
        <is>
          <t>No</t>
        </is>
      </c>
      <c r="L572" t="inlineStr">
        <is>
          <t>0</t>
        </is>
      </c>
      <c r="M572" t="inlineStr">
        <is>
          <t>Frazier, Allie M., 1932-, compiler.</t>
        </is>
      </c>
      <c r="N572" t="inlineStr">
        <is>
          <t>Philadelphia, Westminster Press [1969]</t>
        </is>
      </c>
      <c r="O572" t="inlineStr">
        <is>
          <t>1969</t>
        </is>
      </c>
      <c r="Q572" t="inlineStr">
        <is>
          <t>eng</t>
        </is>
      </c>
      <c r="R572" t="inlineStr">
        <is>
          <t>pau</t>
        </is>
      </c>
      <c r="T572" t="inlineStr">
        <is>
          <t xml:space="preserve">BL </t>
        </is>
      </c>
      <c r="U572" t="n">
        <v>7</v>
      </c>
      <c r="V572" t="n">
        <v>29</v>
      </c>
      <c r="W572" t="inlineStr">
        <is>
          <t>1994-12-15</t>
        </is>
      </c>
      <c r="X572" t="inlineStr">
        <is>
          <t>2002-01-26</t>
        </is>
      </c>
      <c r="Y572" t="inlineStr">
        <is>
          <t>1995-01-25</t>
        </is>
      </c>
      <c r="Z572" t="inlineStr">
        <is>
          <t>1995-01-25</t>
        </is>
      </c>
      <c r="AA572" t="n">
        <v>566</v>
      </c>
      <c r="AB572" t="n">
        <v>521</v>
      </c>
      <c r="AC572" t="n">
        <v>525</v>
      </c>
      <c r="AD572" t="n">
        <v>3</v>
      </c>
      <c r="AE572" t="n">
        <v>3</v>
      </c>
      <c r="AF572" t="n">
        <v>29</v>
      </c>
      <c r="AG572" t="n">
        <v>29</v>
      </c>
      <c r="AH572" t="n">
        <v>11</v>
      </c>
      <c r="AI572" t="n">
        <v>11</v>
      </c>
      <c r="AJ572" t="n">
        <v>6</v>
      </c>
      <c r="AK572" t="n">
        <v>6</v>
      </c>
      <c r="AL572" t="n">
        <v>19</v>
      </c>
      <c r="AM572" t="n">
        <v>19</v>
      </c>
      <c r="AN572" t="n">
        <v>1</v>
      </c>
      <c r="AO572" t="n">
        <v>1</v>
      </c>
      <c r="AP572" t="n">
        <v>0</v>
      </c>
      <c r="AQ572" t="n">
        <v>0</v>
      </c>
      <c r="AR572" t="inlineStr">
        <is>
          <t>No</t>
        </is>
      </c>
      <c r="AS572" t="inlineStr">
        <is>
          <t>Yes</t>
        </is>
      </c>
      <c r="AT572">
        <f>HYPERLINK("http://catalog.hathitrust.org/Record/001391702","HathiTrust Record")</f>
        <v/>
      </c>
      <c r="AU572">
        <f>HYPERLINK("https://creighton-primo.hosted.exlibrisgroup.com/primo-explore/search?tab=default_tab&amp;search_scope=EVERYTHING&amp;vid=01CRU&amp;lang=en_US&amp;offset=0&amp;query=any,contains,991000003549702656","Catalog Record")</f>
        <v/>
      </c>
      <c r="AV572">
        <f>HYPERLINK("http://www.worldcat.org/oclc/12147","WorldCat Record")</f>
        <v/>
      </c>
      <c r="AW572" t="inlineStr">
        <is>
          <t>1135110:eng</t>
        </is>
      </c>
      <c r="AX572" t="inlineStr">
        <is>
          <t>12147</t>
        </is>
      </c>
      <c r="AY572" t="inlineStr">
        <is>
          <t>991000003549702656</t>
        </is>
      </c>
      <c r="AZ572" t="inlineStr">
        <is>
          <t>991000003549702656</t>
        </is>
      </c>
      <c r="BA572" t="inlineStr">
        <is>
          <t>2264772380002656</t>
        </is>
      </c>
      <c r="BB572" t="inlineStr">
        <is>
          <t>BOOK</t>
        </is>
      </c>
      <c r="BD572" t="inlineStr">
        <is>
          <t>9780664208660</t>
        </is>
      </c>
      <c r="BE572" t="inlineStr">
        <is>
          <t>32285001778942</t>
        </is>
      </c>
      <c r="BF572" t="inlineStr">
        <is>
          <t>893796321</t>
        </is>
      </c>
    </row>
    <row r="573">
      <c r="A573" t="inlineStr">
        <is>
          <t>No</t>
        </is>
      </c>
      <c r="B573" t="inlineStr">
        <is>
          <t>CURAL</t>
        </is>
      </c>
      <c r="C573" t="inlineStr">
        <is>
          <t>SHELVES</t>
        </is>
      </c>
      <c r="D573" t="inlineStr">
        <is>
          <t>BL80.2 .G74 1985</t>
        </is>
      </c>
      <c r="E573" t="inlineStr">
        <is>
          <t>0                      BL 0080200G  74          1985</t>
        </is>
      </c>
      <c r="F573" t="inlineStr">
        <is>
          <t>Lonergan, spirituality, and the meeting of religions / Vernon Gregson ; foreword by Sebastian Moore.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M573" t="inlineStr">
        <is>
          <t>Gregson, Vernon.</t>
        </is>
      </c>
      <c r="N573" t="inlineStr">
        <is>
          <t>Lanham, MD. : University Press of America, c1985.</t>
        </is>
      </c>
      <c r="O573" t="inlineStr">
        <is>
          <t>1985</t>
        </is>
      </c>
      <c r="Q573" t="inlineStr">
        <is>
          <t>eng</t>
        </is>
      </c>
      <c r="R573" t="inlineStr">
        <is>
          <t>mdu</t>
        </is>
      </c>
      <c r="S573" t="inlineStr">
        <is>
          <t>College Theology Society studies in religion ; 2</t>
        </is>
      </c>
      <c r="T573" t="inlineStr">
        <is>
          <t xml:space="preserve">BL </t>
        </is>
      </c>
      <c r="U573" t="n">
        <v>5</v>
      </c>
      <c r="V573" t="n">
        <v>5</v>
      </c>
      <c r="W573" t="inlineStr">
        <is>
          <t>1998-11-10</t>
        </is>
      </c>
      <c r="X573" t="inlineStr">
        <is>
          <t>1998-11-10</t>
        </is>
      </c>
      <c r="Y573" t="inlineStr">
        <is>
          <t>1990-10-02</t>
        </is>
      </c>
      <c r="Z573" t="inlineStr">
        <is>
          <t>1990-10-02</t>
        </is>
      </c>
      <c r="AA573" t="n">
        <v>240</v>
      </c>
      <c r="AB573" t="n">
        <v>186</v>
      </c>
      <c r="AC573" t="n">
        <v>187</v>
      </c>
      <c r="AD573" t="n">
        <v>2</v>
      </c>
      <c r="AE573" t="n">
        <v>2</v>
      </c>
      <c r="AF573" t="n">
        <v>25</v>
      </c>
      <c r="AG573" t="n">
        <v>25</v>
      </c>
      <c r="AH573" t="n">
        <v>8</v>
      </c>
      <c r="AI573" t="n">
        <v>8</v>
      </c>
      <c r="AJ573" t="n">
        <v>5</v>
      </c>
      <c r="AK573" t="n">
        <v>5</v>
      </c>
      <c r="AL573" t="n">
        <v>19</v>
      </c>
      <c r="AM573" t="n">
        <v>19</v>
      </c>
      <c r="AN573" t="n">
        <v>1</v>
      </c>
      <c r="AO573" t="n">
        <v>1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HYPERLINK("http://catalog.hathitrust.org/Record/000483156","HathiTrust Record")</f>
        <v/>
      </c>
      <c r="AU573">
        <f>HYPERLINK("https://creighton-primo.hosted.exlibrisgroup.com/primo-explore/search?tab=default_tab&amp;search_scope=EVERYTHING&amp;vid=01CRU&amp;lang=en_US&amp;offset=0&amp;query=any,contains,991000590669702656","Catalog Record")</f>
        <v/>
      </c>
      <c r="AV573">
        <f>HYPERLINK("http://www.worldcat.org/oclc/11785008","WorldCat Record")</f>
        <v/>
      </c>
      <c r="AW573" t="inlineStr">
        <is>
          <t>4627212:eng</t>
        </is>
      </c>
      <c r="AX573" t="inlineStr">
        <is>
          <t>11785008</t>
        </is>
      </c>
      <c r="AY573" t="inlineStr">
        <is>
          <t>991000590669702656</t>
        </is>
      </c>
      <c r="AZ573" t="inlineStr">
        <is>
          <t>991000590669702656</t>
        </is>
      </c>
      <c r="BA573" t="inlineStr">
        <is>
          <t>2255862700002656</t>
        </is>
      </c>
      <c r="BB573" t="inlineStr">
        <is>
          <t>BOOK</t>
        </is>
      </c>
      <c r="BD573" t="inlineStr">
        <is>
          <t>9780819146205</t>
        </is>
      </c>
      <c r="BE573" t="inlineStr">
        <is>
          <t>32285000330281</t>
        </is>
      </c>
      <c r="BF573" t="inlineStr">
        <is>
          <t>893315075</t>
        </is>
      </c>
    </row>
    <row r="574">
      <c r="A574" t="inlineStr">
        <is>
          <t>No</t>
        </is>
      </c>
      <c r="B574" t="inlineStr">
        <is>
          <t>CURAL</t>
        </is>
      </c>
      <c r="C574" t="inlineStr">
        <is>
          <t>SHELVES</t>
        </is>
      </c>
      <c r="D574" t="inlineStr">
        <is>
          <t>BL80.2 .H297</t>
        </is>
      </c>
      <c r="E574" t="inlineStr">
        <is>
          <t>0                      BL 0080200H  297</t>
        </is>
      </c>
      <c r="F574" t="inlineStr">
        <is>
          <t>Religions of the Orient : a Christian view / [by] John A. Hardon.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No</t>
        </is>
      </c>
      <c r="L574" t="inlineStr">
        <is>
          <t>0</t>
        </is>
      </c>
      <c r="M574" t="inlineStr">
        <is>
          <t>Hardon, John A.</t>
        </is>
      </c>
      <c r="N574" t="inlineStr">
        <is>
          <t>Chicago : Loyola University Press, [1970]</t>
        </is>
      </c>
      <c r="O574" t="inlineStr">
        <is>
          <t>1970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BL </t>
        </is>
      </c>
      <c r="U574" t="n">
        <v>6</v>
      </c>
      <c r="V574" t="n">
        <v>6</v>
      </c>
      <c r="W574" t="inlineStr">
        <is>
          <t>1998-05-19</t>
        </is>
      </c>
      <c r="X574" t="inlineStr">
        <is>
          <t>1998-05-19</t>
        </is>
      </c>
      <c r="Y574" t="inlineStr">
        <is>
          <t>1990-10-04</t>
        </is>
      </c>
      <c r="Z574" t="inlineStr">
        <is>
          <t>1990-10-04</t>
        </is>
      </c>
      <c r="AA574" t="n">
        <v>244</v>
      </c>
      <c r="AB574" t="n">
        <v>208</v>
      </c>
      <c r="AC574" t="n">
        <v>210</v>
      </c>
      <c r="AD574" t="n">
        <v>3</v>
      </c>
      <c r="AE574" t="n">
        <v>3</v>
      </c>
      <c r="AF574" t="n">
        <v>11</v>
      </c>
      <c r="AG574" t="n">
        <v>11</v>
      </c>
      <c r="AH574" t="n">
        <v>2</v>
      </c>
      <c r="AI574" t="n">
        <v>2</v>
      </c>
      <c r="AJ574" t="n">
        <v>1</v>
      </c>
      <c r="AK574" t="n">
        <v>1</v>
      </c>
      <c r="AL574" t="n">
        <v>9</v>
      </c>
      <c r="AM574" t="n">
        <v>9</v>
      </c>
      <c r="AN574" t="n">
        <v>2</v>
      </c>
      <c r="AO574" t="n">
        <v>2</v>
      </c>
      <c r="AP574" t="n">
        <v>0</v>
      </c>
      <c r="AQ574" t="n">
        <v>0</v>
      </c>
      <c r="AR574" t="inlineStr">
        <is>
          <t>No</t>
        </is>
      </c>
      <c r="AS574" t="inlineStr">
        <is>
          <t>Yes</t>
        </is>
      </c>
      <c r="AT574">
        <f>HYPERLINK("http://catalog.hathitrust.org/Record/006756640","HathiTrust Record")</f>
        <v/>
      </c>
      <c r="AU574">
        <f>HYPERLINK("https://creighton-primo.hosted.exlibrisgroup.com/primo-explore/search?tab=default_tab&amp;search_scope=EVERYTHING&amp;vid=01CRU&amp;lang=en_US&amp;offset=0&amp;query=any,contains,991000515809702656","Catalog Record")</f>
        <v/>
      </c>
      <c r="AV574">
        <f>HYPERLINK("http://www.worldcat.org/oclc/85581","WorldCat Record")</f>
        <v/>
      </c>
      <c r="AW574" t="inlineStr">
        <is>
          <t>1279308:eng</t>
        </is>
      </c>
      <c r="AX574" t="inlineStr">
        <is>
          <t>85581</t>
        </is>
      </c>
      <c r="AY574" t="inlineStr">
        <is>
          <t>991000515809702656</t>
        </is>
      </c>
      <c r="AZ574" t="inlineStr">
        <is>
          <t>991000515809702656</t>
        </is>
      </c>
      <c r="BA574" t="inlineStr">
        <is>
          <t>2267106350002656</t>
        </is>
      </c>
      <c r="BB574" t="inlineStr">
        <is>
          <t>BOOK</t>
        </is>
      </c>
      <c r="BD574" t="inlineStr">
        <is>
          <t>9780829401851</t>
        </is>
      </c>
      <c r="BE574" t="inlineStr">
        <is>
          <t>32285000331735</t>
        </is>
      </c>
      <c r="BF574" t="inlineStr">
        <is>
          <t>893626344</t>
        </is>
      </c>
    </row>
    <row r="575">
      <c r="A575" t="inlineStr">
        <is>
          <t>No</t>
        </is>
      </c>
      <c r="B575" t="inlineStr">
        <is>
          <t>CURAL</t>
        </is>
      </c>
      <c r="C575" t="inlineStr">
        <is>
          <t>SHELVES</t>
        </is>
      </c>
      <c r="D575" t="inlineStr">
        <is>
          <t>BL80.2 .H67 1985</t>
        </is>
      </c>
      <c r="E575" t="inlineStr">
        <is>
          <t>0                      BL 0080200H  67          1985</t>
        </is>
      </c>
      <c r="F575" t="inlineStr">
        <is>
          <t>Breakthrough : insights of the great religious discoverers / Clifford G. Hospital.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No</t>
        </is>
      </c>
      <c r="L575" t="inlineStr">
        <is>
          <t>0</t>
        </is>
      </c>
      <c r="M575" t="inlineStr">
        <is>
          <t>Hospital, Clifford.</t>
        </is>
      </c>
      <c r="N575" t="inlineStr">
        <is>
          <t>Maryknoll, N.Y. : Orbis Books, 1985.</t>
        </is>
      </c>
      <c r="O575" t="inlineStr">
        <is>
          <t>1985</t>
        </is>
      </c>
      <c r="Q575" t="inlineStr">
        <is>
          <t>eng</t>
        </is>
      </c>
      <c r="R575" t="inlineStr">
        <is>
          <t>nyu</t>
        </is>
      </c>
      <c r="T575" t="inlineStr">
        <is>
          <t xml:space="preserve">BL </t>
        </is>
      </c>
      <c r="U575" t="n">
        <v>2</v>
      </c>
      <c r="V575" t="n">
        <v>2</v>
      </c>
      <c r="W575" t="inlineStr">
        <is>
          <t>2003-04-03</t>
        </is>
      </c>
      <c r="X575" t="inlineStr">
        <is>
          <t>2003-04-03</t>
        </is>
      </c>
      <c r="Y575" t="inlineStr">
        <is>
          <t>1990-10-02</t>
        </is>
      </c>
      <c r="Z575" t="inlineStr">
        <is>
          <t>1990-10-02</t>
        </is>
      </c>
      <c r="AA575" t="n">
        <v>251</v>
      </c>
      <c r="AB575" t="n">
        <v>195</v>
      </c>
      <c r="AC575" t="n">
        <v>202</v>
      </c>
      <c r="AD575" t="n">
        <v>1</v>
      </c>
      <c r="AE575" t="n">
        <v>1</v>
      </c>
      <c r="AF575" t="n">
        <v>17</v>
      </c>
      <c r="AG575" t="n">
        <v>17</v>
      </c>
      <c r="AH575" t="n">
        <v>5</v>
      </c>
      <c r="AI575" t="n">
        <v>5</v>
      </c>
      <c r="AJ575" t="n">
        <v>4</v>
      </c>
      <c r="AK575" t="n">
        <v>4</v>
      </c>
      <c r="AL575" t="n">
        <v>13</v>
      </c>
      <c r="AM575" t="n">
        <v>13</v>
      </c>
      <c r="AN575" t="n">
        <v>0</v>
      </c>
      <c r="AO575" t="n">
        <v>0</v>
      </c>
      <c r="AP575" t="n">
        <v>0</v>
      </c>
      <c r="AQ575" t="n">
        <v>0</v>
      </c>
      <c r="AR575" t="inlineStr">
        <is>
          <t>No</t>
        </is>
      </c>
      <c r="AS575" t="inlineStr">
        <is>
          <t>Yes</t>
        </is>
      </c>
      <c r="AT575">
        <f>HYPERLINK("http://catalog.hathitrust.org/Record/000651977","HathiTrust Record")</f>
        <v/>
      </c>
      <c r="AU575">
        <f>HYPERLINK("https://creighton-primo.hosted.exlibrisgroup.com/primo-explore/search?tab=default_tab&amp;search_scope=EVERYTHING&amp;vid=01CRU&amp;lang=en_US&amp;offset=0&amp;query=any,contains,991000606869702656","Catalog Record")</f>
        <v/>
      </c>
      <c r="AV575">
        <f>HYPERLINK("http://www.worldcat.org/oclc/11867002","WorldCat Record")</f>
        <v/>
      </c>
      <c r="AW575" t="inlineStr">
        <is>
          <t>196790410:eng</t>
        </is>
      </c>
      <c r="AX575" t="inlineStr">
        <is>
          <t>11867002</t>
        </is>
      </c>
      <c r="AY575" t="inlineStr">
        <is>
          <t>991000606869702656</t>
        </is>
      </c>
      <c r="AZ575" t="inlineStr">
        <is>
          <t>991000606869702656</t>
        </is>
      </c>
      <c r="BA575" t="inlineStr">
        <is>
          <t>2262582800002656</t>
        </is>
      </c>
      <c r="BB575" t="inlineStr">
        <is>
          <t>BOOK</t>
        </is>
      </c>
      <c r="BD575" t="inlineStr">
        <is>
          <t>9780883442067</t>
        </is>
      </c>
      <c r="BE575" t="inlineStr">
        <is>
          <t>32285000330315</t>
        </is>
      </c>
      <c r="BF575" t="inlineStr">
        <is>
          <t>893790682</t>
        </is>
      </c>
    </row>
    <row r="576">
      <c r="A576" t="inlineStr">
        <is>
          <t>No</t>
        </is>
      </c>
      <c r="B576" t="inlineStr">
        <is>
          <t>CURAL</t>
        </is>
      </c>
      <c r="C576" t="inlineStr">
        <is>
          <t>SHELVES</t>
        </is>
      </c>
      <c r="D576" t="inlineStr">
        <is>
          <t>BL80.2 .H76 1981</t>
        </is>
      </c>
      <c r="E576" t="inlineStr">
        <is>
          <t>0                      BL 0080200H  76          1981</t>
        </is>
      </c>
      <c r="F576" t="inlineStr">
        <is>
          <t>Paths of faith / John A. Hutchison.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Hutchison, John Alexander, 1912-</t>
        </is>
      </c>
      <c r="N576" t="inlineStr">
        <is>
          <t>New York : McGraw-Hill Book Co., c1981.</t>
        </is>
      </c>
      <c r="O576" t="inlineStr">
        <is>
          <t>1981</t>
        </is>
      </c>
      <c r="P576" t="inlineStr">
        <is>
          <t>3d ed.</t>
        </is>
      </c>
      <c r="Q576" t="inlineStr">
        <is>
          <t>eng</t>
        </is>
      </c>
      <c r="R576" t="inlineStr">
        <is>
          <t>nyu</t>
        </is>
      </c>
      <c r="T576" t="inlineStr">
        <is>
          <t xml:space="preserve">BL </t>
        </is>
      </c>
      <c r="U576" t="n">
        <v>1</v>
      </c>
      <c r="V576" t="n">
        <v>1</v>
      </c>
      <c r="W576" t="inlineStr">
        <is>
          <t>2000-11-10</t>
        </is>
      </c>
      <c r="X576" t="inlineStr">
        <is>
          <t>2000-11-10</t>
        </is>
      </c>
      <c r="Y576" t="inlineStr">
        <is>
          <t>1990-10-02</t>
        </is>
      </c>
      <c r="Z576" t="inlineStr">
        <is>
          <t>1990-10-02</t>
        </is>
      </c>
      <c r="AA576" t="n">
        <v>194</v>
      </c>
      <c r="AB576" t="n">
        <v>154</v>
      </c>
      <c r="AC576" t="n">
        <v>729</v>
      </c>
      <c r="AD576" t="n">
        <v>2</v>
      </c>
      <c r="AE576" t="n">
        <v>6</v>
      </c>
      <c r="AF576" t="n">
        <v>8</v>
      </c>
      <c r="AG576" t="n">
        <v>31</v>
      </c>
      <c r="AH576" t="n">
        <v>0</v>
      </c>
      <c r="AI576" t="n">
        <v>13</v>
      </c>
      <c r="AJ576" t="n">
        <v>2</v>
      </c>
      <c r="AK576" t="n">
        <v>5</v>
      </c>
      <c r="AL576" t="n">
        <v>5</v>
      </c>
      <c r="AM576" t="n">
        <v>17</v>
      </c>
      <c r="AN576" t="n">
        <v>1</v>
      </c>
      <c r="AO576" t="n">
        <v>4</v>
      </c>
      <c r="AP576" t="n">
        <v>0</v>
      </c>
      <c r="AQ576" t="n">
        <v>0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HYPERLINK("https://creighton-primo.hosted.exlibrisgroup.com/primo-explore/search?tab=default_tab&amp;search_scope=EVERYTHING&amp;vid=01CRU&amp;lang=en_US&amp;offset=0&amp;query=any,contains,991004949229702656","Catalog Record")</f>
        <v/>
      </c>
      <c r="AV576">
        <f>HYPERLINK("http://www.worldcat.org/oclc/6223798","WorldCat Record")</f>
        <v/>
      </c>
      <c r="AW576" t="inlineStr">
        <is>
          <t>507356:eng</t>
        </is>
      </c>
      <c r="AX576" t="inlineStr">
        <is>
          <t>6223798</t>
        </is>
      </c>
      <c r="AY576" t="inlineStr">
        <is>
          <t>991004949229702656</t>
        </is>
      </c>
      <c r="AZ576" t="inlineStr">
        <is>
          <t>991004949229702656</t>
        </is>
      </c>
      <c r="BA576" t="inlineStr">
        <is>
          <t>2268486690002656</t>
        </is>
      </c>
      <c r="BB576" t="inlineStr">
        <is>
          <t>BOOK</t>
        </is>
      </c>
      <c r="BD576" t="inlineStr">
        <is>
          <t>9780070315327</t>
        </is>
      </c>
      <c r="BE576" t="inlineStr">
        <is>
          <t>32285000330331</t>
        </is>
      </c>
      <c r="BF576" t="inlineStr">
        <is>
          <t>893436950</t>
        </is>
      </c>
    </row>
    <row r="577">
      <c r="A577" t="inlineStr">
        <is>
          <t>No</t>
        </is>
      </c>
      <c r="B577" t="inlineStr">
        <is>
          <t>CURAL</t>
        </is>
      </c>
      <c r="C577" t="inlineStr">
        <is>
          <t>SHELVES</t>
        </is>
      </c>
      <c r="D577" t="inlineStr">
        <is>
          <t>BL80.2 .K38 1976</t>
        </is>
      </c>
      <c r="E577" t="inlineStr">
        <is>
          <t>0                      BL 0080200K  38          1976</t>
        </is>
      </c>
      <c r="F577" t="inlineStr">
        <is>
          <t>Religions in four dimensions : existential and aesthetic, historical and comparative / text and photos. by Walter Kaufmann.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M577" t="inlineStr">
        <is>
          <t>Kaufmann, Walter, 1921-1980.</t>
        </is>
      </c>
      <c r="N577" t="inlineStr">
        <is>
          <t>New York : Reader's Digest Press : distributed by Crowell, 1976.</t>
        </is>
      </c>
      <c r="O577" t="inlineStr">
        <is>
          <t>1976</t>
        </is>
      </c>
      <c r="P577" t="inlineStr">
        <is>
          <t>1st ed.</t>
        </is>
      </c>
      <c r="Q577" t="inlineStr">
        <is>
          <t>eng</t>
        </is>
      </c>
      <c r="R577" t="inlineStr">
        <is>
          <t>nyu</t>
        </is>
      </c>
      <c r="T577" t="inlineStr">
        <is>
          <t xml:space="preserve">BL </t>
        </is>
      </c>
      <c r="U577" t="n">
        <v>3</v>
      </c>
      <c r="V577" t="n">
        <v>3</v>
      </c>
      <c r="W577" t="inlineStr">
        <is>
          <t>1995-10-27</t>
        </is>
      </c>
      <c r="X577" t="inlineStr">
        <is>
          <t>1995-10-27</t>
        </is>
      </c>
      <c r="Y577" t="inlineStr">
        <is>
          <t>1990-10-02</t>
        </is>
      </c>
      <c r="Z577" t="inlineStr">
        <is>
          <t>1990-10-02</t>
        </is>
      </c>
      <c r="AA577" t="n">
        <v>733</v>
      </c>
      <c r="AB577" t="n">
        <v>631</v>
      </c>
      <c r="AC577" t="n">
        <v>636</v>
      </c>
      <c r="AD577" t="n">
        <v>4</v>
      </c>
      <c r="AE577" t="n">
        <v>4</v>
      </c>
      <c r="AF577" t="n">
        <v>26</v>
      </c>
      <c r="AG577" t="n">
        <v>26</v>
      </c>
      <c r="AH577" t="n">
        <v>8</v>
      </c>
      <c r="AI577" t="n">
        <v>8</v>
      </c>
      <c r="AJ577" t="n">
        <v>7</v>
      </c>
      <c r="AK577" t="n">
        <v>7</v>
      </c>
      <c r="AL577" t="n">
        <v>17</v>
      </c>
      <c r="AM577" t="n">
        <v>17</v>
      </c>
      <c r="AN577" t="n">
        <v>3</v>
      </c>
      <c r="AO577" t="n">
        <v>3</v>
      </c>
      <c r="AP577" t="n">
        <v>0</v>
      </c>
      <c r="AQ577" t="n">
        <v>0</v>
      </c>
      <c r="AR577" t="inlineStr">
        <is>
          <t>No</t>
        </is>
      </c>
      <c r="AS577" t="inlineStr">
        <is>
          <t>Yes</t>
        </is>
      </c>
      <c r="AT577">
        <f>HYPERLINK("http://catalog.hathitrust.org/Record/000702996","HathiTrust Record")</f>
        <v/>
      </c>
      <c r="AU577">
        <f>HYPERLINK("https://creighton-primo.hosted.exlibrisgroup.com/primo-explore/search?tab=default_tab&amp;search_scope=EVERYTHING&amp;vid=01CRU&amp;lang=en_US&amp;offset=0&amp;query=any,contains,991004042759702656","Catalog Record")</f>
        <v/>
      </c>
      <c r="AV577">
        <f>HYPERLINK("http://www.worldcat.org/oclc/2189434","WorldCat Record")</f>
        <v/>
      </c>
      <c r="AW577" t="inlineStr">
        <is>
          <t>4288317:eng</t>
        </is>
      </c>
      <c r="AX577" t="inlineStr">
        <is>
          <t>2189434</t>
        </is>
      </c>
      <c r="AY577" t="inlineStr">
        <is>
          <t>991004042759702656</t>
        </is>
      </c>
      <c r="AZ577" t="inlineStr">
        <is>
          <t>991004042759702656</t>
        </is>
      </c>
      <c r="BA577" t="inlineStr">
        <is>
          <t>2265363300002656</t>
        </is>
      </c>
      <c r="BB577" t="inlineStr">
        <is>
          <t>BOOK</t>
        </is>
      </c>
      <c r="BD577" t="inlineStr">
        <is>
          <t>9780883491041</t>
        </is>
      </c>
      <c r="BE577" t="inlineStr">
        <is>
          <t>32285000330349</t>
        </is>
      </c>
      <c r="BF577" t="inlineStr">
        <is>
          <t>893718396</t>
        </is>
      </c>
    </row>
    <row r="578">
      <c r="A578" t="inlineStr">
        <is>
          <t>No</t>
        </is>
      </c>
      <c r="B578" t="inlineStr">
        <is>
          <t>CURAL</t>
        </is>
      </c>
      <c r="C578" t="inlineStr">
        <is>
          <t>SHELVES</t>
        </is>
      </c>
      <c r="D578" t="inlineStr">
        <is>
          <t>BL80.2 .K56</t>
        </is>
      </c>
      <c r="E578" t="inlineStr">
        <is>
          <t>0                      BL 0080200K  56</t>
        </is>
      </c>
      <c r="F578" t="inlineStr">
        <is>
          <t>Towards a new mysticism : Teilhard de Chardin and Eastern religions / Ursula King.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King, Ursula.</t>
        </is>
      </c>
      <c r="N578" t="inlineStr">
        <is>
          <t>New York : Seabury Press, c1980, 1981.</t>
        </is>
      </c>
      <c r="O578" t="inlineStr">
        <is>
          <t>1980</t>
        </is>
      </c>
      <c r="Q578" t="inlineStr">
        <is>
          <t>eng</t>
        </is>
      </c>
      <c r="R578" t="inlineStr">
        <is>
          <t>nyu</t>
        </is>
      </c>
      <c r="T578" t="inlineStr">
        <is>
          <t xml:space="preserve">BL </t>
        </is>
      </c>
      <c r="U578" t="n">
        <v>2</v>
      </c>
      <c r="V578" t="n">
        <v>2</v>
      </c>
      <c r="W578" t="inlineStr">
        <is>
          <t>2001-01-19</t>
        </is>
      </c>
      <c r="X578" t="inlineStr">
        <is>
          <t>2001-01-19</t>
        </is>
      </c>
      <c r="Y578" t="inlineStr">
        <is>
          <t>1990-10-02</t>
        </is>
      </c>
      <c r="Z578" t="inlineStr">
        <is>
          <t>1990-10-02</t>
        </is>
      </c>
      <c r="AA578" t="n">
        <v>402</v>
      </c>
      <c r="AB578" t="n">
        <v>377</v>
      </c>
      <c r="AC578" t="n">
        <v>475</v>
      </c>
      <c r="AD578" t="n">
        <v>2</v>
      </c>
      <c r="AE578" t="n">
        <v>4</v>
      </c>
      <c r="AF578" t="n">
        <v>28</v>
      </c>
      <c r="AG578" t="n">
        <v>33</v>
      </c>
      <c r="AH578" t="n">
        <v>11</v>
      </c>
      <c r="AI578" t="n">
        <v>12</v>
      </c>
      <c r="AJ578" t="n">
        <v>6</v>
      </c>
      <c r="AK578" t="n">
        <v>8</v>
      </c>
      <c r="AL578" t="n">
        <v>20</v>
      </c>
      <c r="AM578" t="n">
        <v>22</v>
      </c>
      <c r="AN578" t="n">
        <v>0</v>
      </c>
      <c r="AO578" t="n">
        <v>2</v>
      </c>
      <c r="AP578" t="n">
        <v>0</v>
      </c>
      <c r="AQ578" t="n">
        <v>0</v>
      </c>
      <c r="AR578" t="inlineStr">
        <is>
          <t>No</t>
        </is>
      </c>
      <c r="AS578" t="inlineStr">
        <is>
          <t>Yes</t>
        </is>
      </c>
      <c r="AT578">
        <f>HYPERLINK("http://catalog.hathitrust.org/Record/007115925","HathiTrust Record")</f>
        <v/>
      </c>
      <c r="AU578">
        <f>HYPERLINK("https://creighton-primo.hosted.exlibrisgroup.com/primo-explore/search?tab=default_tab&amp;search_scope=EVERYTHING&amp;vid=01CRU&amp;lang=en_US&amp;offset=0&amp;query=any,contains,991004980699702656","Catalog Record")</f>
        <v/>
      </c>
      <c r="AV578">
        <f>HYPERLINK("http://www.worldcat.org/oclc/6421881","WorldCat Record")</f>
        <v/>
      </c>
      <c r="AW578" t="inlineStr">
        <is>
          <t>479322:eng</t>
        </is>
      </c>
      <c r="AX578" t="inlineStr">
        <is>
          <t>6421881</t>
        </is>
      </c>
      <c r="AY578" t="inlineStr">
        <is>
          <t>991004980699702656</t>
        </is>
      </c>
      <c r="AZ578" t="inlineStr">
        <is>
          <t>991004980699702656</t>
        </is>
      </c>
      <c r="BA578" t="inlineStr">
        <is>
          <t>2270128040002656</t>
        </is>
      </c>
      <c r="BB578" t="inlineStr">
        <is>
          <t>BOOK</t>
        </is>
      </c>
      <c r="BD578" t="inlineStr">
        <is>
          <t>9780816404759</t>
        </is>
      </c>
      <c r="BE578" t="inlineStr">
        <is>
          <t>32285000330356</t>
        </is>
      </c>
      <c r="BF578" t="inlineStr">
        <is>
          <t>893606661</t>
        </is>
      </c>
    </row>
    <row r="579">
      <c r="A579" t="inlineStr">
        <is>
          <t>No</t>
        </is>
      </c>
      <c r="B579" t="inlineStr">
        <is>
          <t>CURAL</t>
        </is>
      </c>
      <c r="C579" t="inlineStr">
        <is>
          <t>SHELVES</t>
        </is>
      </c>
      <c r="D579" t="inlineStr">
        <is>
          <t>BL80.2 .K564 1990</t>
        </is>
      </c>
      <c r="E579" t="inlineStr">
        <is>
          <t>0                      BL 0080200K  564         1990</t>
        </is>
      </c>
      <c r="F579" t="inlineStr">
        <is>
          <t>The quest for human unity : a religious history / Joseph Mitsuo Kitagawa.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Kitagawa, Joseph M. (Joseph Mitsuo), 1915-1992.</t>
        </is>
      </c>
      <c r="N579" t="inlineStr">
        <is>
          <t>Minneapolis : Fortress Press, c1990.</t>
        </is>
      </c>
      <c r="O579" t="inlineStr">
        <is>
          <t>1990</t>
        </is>
      </c>
      <c r="Q579" t="inlineStr">
        <is>
          <t>eng</t>
        </is>
      </c>
      <c r="R579" t="inlineStr">
        <is>
          <t>mnu</t>
        </is>
      </c>
      <c r="T579" t="inlineStr">
        <is>
          <t xml:space="preserve">BL </t>
        </is>
      </c>
      <c r="U579" t="n">
        <v>1</v>
      </c>
      <c r="V579" t="n">
        <v>1</v>
      </c>
      <c r="W579" t="inlineStr">
        <is>
          <t>1992-02-05</t>
        </is>
      </c>
      <c r="X579" t="inlineStr">
        <is>
          <t>1992-02-05</t>
        </is>
      </c>
      <c r="Y579" t="inlineStr">
        <is>
          <t>1992-01-28</t>
        </is>
      </c>
      <c r="Z579" t="inlineStr">
        <is>
          <t>1992-01-28</t>
        </is>
      </c>
      <c r="AA579" t="n">
        <v>335</v>
      </c>
      <c r="AB579" t="n">
        <v>275</v>
      </c>
      <c r="AC579" t="n">
        <v>280</v>
      </c>
      <c r="AD579" t="n">
        <v>1</v>
      </c>
      <c r="AE579" t="n">
        <v>1</v>
      </c>
      <c r="AF579" t="n">
        <v>12</v>
      </c>
      <c r="AG579" t="n">
        <v>12</v>
      </c>
      <c r="AH579" t="n">
        <v>3</v>
      </c>
      <c r="AI579" t="n">
        <v>3</v>
      </c>
      <c r="AJ579" t="n">
        <v>4</v>
      </c>
      <c r="AK579" t="n">
        <v>4</v>
      </c>
      <c r="AL579" t="n">
        <v>8</v>
      </c>
      <c r="AM579" t="n">
        <v>8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No</t>
        </is>
      </c>
      <c r="AS579" t="inlineStr">
        <is>
          <t>Yes</t>
        </is>
      </c>
      <c r="AT579">
        <f>HYPERLINK("http://catalog.hathitrust.org/Record/002230685","HathiTrust Record")</f>
        <v/>
      </c>
      <c r="AU579">
        <f>HYPERLINK("https://creighton-primo.hosted.exlibrisgroup.com/primo-explore/search?tab=default_tab&amp;search_scope=EVERYTHING&amp;vid=01CRU&amp;lang=en_US&amp;offset=0&amp;query=any,contains,991001650849702656","Catalog Record")</f>
        <v/>
      </c>
      <c r="AV579">
        <f>HYPERLINK("http://www.worldcat.org/oclc/21080749","WorldCat Record")</f>
        <v/>
      </c>
      <c r="AW579" t="inlineStr">
        <is>
          <t>892027630:eng</t>
        </is>
      </c>
      <c r="AX579" t="inlineStr">
        <is>
          <t>21080749</t>
        </is>
      </c>
      <c r="AY579" t="inlineStr">
        <is>
          <t>991001650849702656</t>
        </is>
      </c>
      <c r="AZ579" t="inlineStr">
        <is>
          <t>991001650849702656</t>
        </is>
      </c>
      <c r="BA579" t="inlineStr">
        <is>
          <t>2255541060002656</t>
        </is>
      </c>
      <c r="BB579" t="inlineStr">
        <is>
          <t>BOOK</t>
        </is>
      </c>
      <c r="BD579" t="inlineStr">
        <is>
          <t>9780800624224</t>
        </is>
      </c>
      <c r="BE579" t="inlineStr">
        <is>
          <t>32285000867449</t>
        </is>
      </c>
      <c r="BF579" t="inlineStr">
        <is>
          <t>893897943</t>
        </is>
      </c>
    </row>
    <row r="580">
      <c r="A580" t="inlineStr">
        <is>
          <t>No</t>
        </is>
      </c>
      <c r="B580" t="inlineStr">
        <is>
          <t>CURAL</t>
        </is>
      </c>
      <c r="C580" t="inlineStr">
        <is>
          <t>SHELVES</t>
        </is>
      </c>
      <c r="D580" t="inlineStr">
        <is>
          <t>BL80.2 .M27</t>
        </is>
      </c>
      <c r="E580" t="inlineStr">
        <is>
          <t>0                      BL 0080200M  27</t>
        </is>
      </c>
      <c r="F580" t="inlineStr">
        <is>
          <t>Religions of the world [by] S. Vernon McCasland, Grace E. Cairns [and] David C. Yu.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McCasland, S. Vernon (Selby Vernon), 1896-1970.</t>
        </is>
      </c>
      <c r="N580" t="inlineStr">
        <is>
          <t>New York, Random House [1969]</t>
        </is>
      </c>
      <c r="O580" t="inlineStr">
        <is>
          <t>1969</t>
        </is>
      </c>
      <c r="Q580" t="inlineStr">
        <is>
          <t>eng</t>
        </is>
      </c>
      <c r="R580" t="inlineStr">
        <is>
          <t>nyu</t>
        </is>
      </c>
      <c r="T580" t="inlineStr">
        <is>
          <t xml:space="preserve">BL </t>
        </is>
      </c>
      <c r="U580" t="n">
        <v>7</v>
      </c>
      <c r="V580" t="n">
        <v>7</v>
      </c>
      <c r="W580" t="inlineStr">
        <is>
          <t>2001-04-09</t>
        </is>
      </c>
      <c r="X580" t="inlineStr">
        <is>
          <t>2001-04-09</t>
        </is>
      </c>
      <c r="Y580" t="inlineStr">
        <is>
          <t>1990-10-02</t>
        </is>
      </c>
      <c r="Z580" t="inlineStr">
        <is>
          <t>1990-10-02</t>
        </is>
      </c>
      <c r="AA580" t="n">
        <v>526</v>
      </c>
      <c r="AB580" t="n">
        <v>476</v>
      </c>
      <c r="AC580" t="n">
        <v>481</v>
      </c>
      <c r="AD580" t="n">
        <v>3</v>
      </c>
      <c r="AE580" t="n">
        <v>3</v>
      </c>
      <c r="AF580" t="n">
        <v>23</v>
      </c>
      <c r="AG580" t="n">
        <v>23</v>
      </c>
      <c r="AH580" t="n">
        <v>11</v>
      </c>
      <c r="AI580" t="n">
        <v>11</v>
      </c>
      <c r="AJ580" t="n">
        <v>2</v>
      </c>
      <c r="AK580" t="n">
        <v>2</v>
      </c>
      <c r="AL580" t="n">
        <v>15</v>
      </c>
      <c r="AM580" t="n">
        <v>15</v>
      </c>
      <c r="AN580" t="n">
        <v>2</v>
      </c>
      <c r="AO580" t="n">
        <v>2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HYPERLINK("https://creighton-primo.hosted.exlibrisgroup.com/primo-explore/search?tab=default_tab&amp;search_scope=EVERYTHING&amp;vid=01CRU&amp;lang=en_US&amp;offset=0&amp;query=any,contains,991000002659702656","Catalog Record")</f>
        <v/>
      </c>
      <c r="AV580">
        <f>HYPERLINK("http://www.worldcat.org/oclc/11615","WorldCat Record")</f>
        <v/>
      </c>
      <c r="AW580" t="inlineStr">
        <is>
          <t>1134655:eng</t>
        </is>
      </c>
      <c r="AX580" t="inlineStr">
        <is>
          <t>11615</t>
        </is>
      </c>
      <c r="AY580" t="inlineStr">
        <is>
          <t>991000002659702656</t>
        </is>
      </c>
      <c r="AZ580" t="inlineStr">
        <is>
          <t>991000002659702656</t>
        </is>
      </c>
      <c r="BA580" t="inlineStr">
        <is>
          <t>2267800890002656</t>
        </is>
      </c>
      <c r="BB580" t="inlineStr">
        <is>
          <t>BOOK</t>
        </is>
      </c>
      <c r="BE580" t="inlineStr">
        <is>
          <t>32285000330406</t>
        </is>
      </c>
      <c r="BF580" t="inlineStr">
        <is>
          <t>893790158</t>
        </is>
      </c>
    </row>
    <row r="581">
      <c r="A581" t="inlineStr">
        <is>
          <t>No</t>
        </is>
      </c>
      <c r="B581" t="inlineStr">
        <is>
          <t>CURAL</t>
        </is>
      </c>
      <c r="C581" t="inlineStr">
        <is>
          <t>SHELVES</t>
        </is>
      </c>
      <c r="D581" t="inlineStr">
        <is>
          <t>BL80.2 .M283 1974</t>
        </is>
      </c>
      <c r="E581" t="inlineStr">
        <is>
          <t>0                      BL 0080200M  283         1974</t>
        </is>
      </c>
      <c r="F581" t="inlineStr">
        <is>
          <t>The new castle; reaching for the ultimate.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Martin, Malachi.</t>
        </is>
      </c>
      <c r="N581" t="inlineStr">
        <is>
          <t>New York, Dutton, 1974.</t>
        </is>
      </c>
      <c r="O581" t="inlineStr">
        <is>
          <t>1974</t>
        </is>
      </c>
      <c r="P581" t="inlineStr">
        <is>
          <t>[1st ed.]</t>
        </is>
      </c>
      <c r="Q581" t="inlineStr">
        <is>
          <t>eng</t>
        </is>
      </c>
      <c r="R581" t="inlineStr">
        <is>
          <t>nyu</t>
        </is>
      </c>
      <c r="T581" t="inlineStr">
        <is>
          <t xml:space="preserve">BL </t>
        </is>
      </c>
      <c r="U581" t="n">
        <v>2</v>
      </c>
      <c r="V581" t="n">
        <v>2</v>
      </c>
      <c r="W581" t="inlineStr">
        <is>
          <t>2007-09-24</t>
        </is>
      </c>
      <c r="X581" t="inlineStr">
        <is>
          <t>2007-09-24</t>
        </is>
      </c>
      <c r="Y581" t="inlineStr">
        <is>
          <t>1990-10-02</t>
        </is>
      </c>
      <c r="Z581" t="inlineStr">
        <is>
          <t>1990-10-02</t>
        </is>
      </c>
      <c r="AA581" t="n">
        <v>300</v>
      </c>
      <c r="AB581" t="n">
        <v>284</v>
      </c>
      <c r="AC581" t="n">
        <v>320</v>
      </c>
      <c r="AD581" t="n">
        <v>3</v>
      </c>
      <c r="AE581" t="n">
        <v>4</v>
      </c>
      <c r="AF581" t="n">
        <v>11</v>
      </c>
      <c r="AG581" t="n">
        <v>15</v>
      </c>
      <c r="AH581" t="n">
        <v>1</v>
      </c>
      <c r="AI581" t="n">
        <v>3</v>
      </c>
      <c r="AJ581" t="n">
        <v>3</v>
      </c>
      <c r="AK581" t="n">
        <v>5</v>
      </c>
      <c r="AL581" t="n">
        <v>8</v>
      </c>
      <c r="AM581" t="n">
        <v>8</v>
      </c>
      <c r="AN581" t="n">
        <v>1</v>
      </c>
      <c r="AO581" t="n">
        <v>2</v>
      </c>
      <c r="AP581" t="n">
        <v>0</v>
      </c>
      <c r="AQ581" t="n">
        <v>0</v>
      </c>
      <c r="AR581" t="inlineStr">
        <is>
          <t>No</t>
        </is>
      </c>
      <c r="AS581" t="inlineStr">
        <is>
          <t>Yes</t>
        </is>
      </c>
      <c r="AT581">
        <f>HYPERLINK("http://catalog.hathitrust.org/Record/007914296","HathiTrust Record")</f>
        <v/>
      </c>
      <c r="AU581">
        <f>HYPERLINK("https://creighton-primo.hosted.exlibrisgroup.com/primo-explore/search?tab=default_tab&amp;search_scope=EVERYTHING&amp;vid=01CRU&amp;lang=en_US&amp;offset=0&amp;query=any,contains,991003386279702656","Catalog Record")</f>
        <v/>
      </c>
      <c r="AV581">
        <f>HYPERLINK("http://www.worldcat.org/oclc/922731","WorldCat Record")</f>
        <v/>
      </c>
      <c r="AW581" t="inlineStr">
        <is>
          <t>478292577:eng</t>
        </is>
      </c>
      <c r="AX581" t="inlineStr">
        <is>
          <t>922731</t>
        </is>
      </c>
      <c r="AY581" t="inlineStr">
        <is>
          <t>991003386279702656</t>
        </is>
      </c>
      <c r="AZ581" t="inlineStr">
        <is>
          <t>991003386279702656</t>
        </is>
      </c>
      <c r="BA581" t="inlineStr">
        <is>
          <t>2264829340002656</t>
        </is>
      </c>
      <c r="BB581" t="inlineStr">
        <is>
          <t>BOOK</t>
        </is>
      </c>
      <c r="BD581" t="inlineStr">
        <is>
          <t>9780525165538</t>
        </is>
      </c>
      <c r="BE581" t="inlineStr">
        <is>
          <t>32285000330414</t>
        </is>
      </c>
      <c r="BF581" t="inlineStr">
        <is>
          <t>893342517</t>
        </is>
      </c>
    </row>
    <row r="582">
      <c r="A582" t="inlineStr">
        <is>
          <t>No</t>
        </is>
      </c>
      <c r="B582" t="inlineStr">
        <is>
          <t>CURAL</t>
        </is>
      </c>
      <c r="C582" t="inlineStr">
        <is>
          <t>SHELVES</t>
        </is>
      </c>
      <c r="D582" t="inlineStr">
        <is>
          <t>BL80.2 .M289 1985</t>
        </is>
      </c>
      <c r="E582" t="inlineStr">
        <is>
          <t>0                      BL 0080200M  289         1985</t>
        </is>
      </c>
      <c r="F582" t="inlineStr">
        <is>
          <t>The kingdom of the cults / Walter Martin.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M582" t="inlineStr">
        <is>
          <t>Martin, Walter, 1928-1989.</t>
        </is>
      </c>
      <c r="N582" t="inlineStr">
        <is>
          <t>Minneapolis, Minn. : Bethany House Publishers, c1985.</t>
        </is>
      </c>
      <c r="O582" t="inlineStr">
        <is>
          <t>1985</t>
        </is>
      </c>
      <c r="P582" t="inlineStr">
        <is>
          <t>Rev. and expanded ed.</t>
        </is>
      </c>
      <c r="Q582" t="inlineStr">
        <is>
          <t>eng</t>
        </is>
      </c>
      <c r="R582" t="inlineStr">
        <is>
          <t>mnu</t>
        </is>
      </c>
      <c r="T582" t="inlineStr">
        <is>
          <t xml:space="preserve">BL </t>
        </is>
      </c>
      <c r="U582" t="n">
        <v>8</v>
      </c>
      <c r="V582" t="n">
        <v>8</v>
      </c>
      <c r="W582" t="inlineStr">
        <is>
          <t>2005-11-10</t>
        </is>
      </c>
      <c r="X582" t="inlineStr">
        <is>
          <t>2005-11-10</t>
        </is>
      </c>
      <c r="Y582" t="inlineStr">
        <is>
          <t>1990-10-02</t>
        </is>
      </c>
      <c r="Z582" t="inlineStr">
        <is>
          <t>1990-10-02</t>
        </is>
      </c>
      <c r="AA582" t="n">
        <v>666</v>
      </c>
      <c r="AB582" t="n">
        <v>587</v>
      </c>
      <c r="AC582" t="n">
        <v>1172</v>
      </c>
      <c r="AD582" t="n">
        <v>2</v>
      </c>
      <c r="AE582" t="n">
        <v>9</v>
      </c>
      <c r="AF582" t="n">
        <v>7</v>
      </c>
      <c r="AG582" t="n">
        <v>13</v>
      </c>
      <c r="AH582" t="n">
        <v>3</v>
      </c>
      <c r="AI582" t="n">
        <v>7</v>
      </c>
      <c r="AJ582" t="n">
        <v>1</v>
      </c>
      <c r="AK582" t="n">
        <v>1</v>
      </c>
      <c r="AL582" t="n">
        <v>3</v>
      </c>
      <c r="AM582" t="n">
        <v>3</v>
      </c>
      <c r="AN582" t="n">
        <v>0</v>
      </c>
      <c r="AO582" t="n">
        <v>2</v>
      </c>
      <c r="AP582" t="n">
        <v>0</v>
      </c>
      <c r="AQ582" t="n">
        <v>0</v>
      </c>
      <c r="AR582" t="inlineStr">
        <is>
          <t>No</t>
        </is>
      </c>
      <c r="AS582" t="inlineStr">
        <is>
          <t>Yes</t>
        </is>
      </c>
      <c r="AT582">
        <f>HYPERLINK("http://catalog.hathitrust.org/Record/003134800","HathiTrust Record")</f>
        <v/>
      </c>
      <c r="AU582">
        <f>HYPERLINK("https://creighton-primo.hosted.exlibrisgroup.com/primo-explore/search?tab=default_tab&amp;search_scope=EVERYTHING&amp;vid=01CRU&amp;lang=en_US&amp;offset=0&amp;query=any,contains,991000620859702656","Catalog Record")</f>
        <v/>
      </c>
      <c r="AV582">
        <f>HYPERLINK("http://www.worldcat.org/oclc/11971843","WorldCat Record")</f>
        <v/>
      </c>
      <c r="AW582" t="inlineStr">
        <is>
          <t>4920845336:eng</t>
        </is>
      </c>
      <c r="AX582" t="inlineStr">
        <is>
          <t>11971843</t>
        </is>
      </c>
      <c r="AY582" t="inlineStr">
        <is>
          <t>991000620859702656</t>
        </is>
      </c>
      <c r="AZ582" t="inlineStr">
        <is>
          <t>991000620859702656</t>
        </is>
      </c>
      <c r="BA582" t="inlineStr">
        <is>
          <t>2257179810002656</t>
        </is>
      </c>
      <c r="BB582" t="inlineStr">
        <is>
          <t>BOOK</t>
        </is>
      </c>
      <c r="BD582" t="inlineStr">
        <is>
          <t>9780871237965</t>
        </is>
      </c>
      <c r="BE582" t="inlineStr">
        <is>
          <t>32285005174213</t>
        </is>
      </c>
      <c r="BF582" t="inlineStr">
        <is>
          <t>893790694</t>
        </is>
      </c>
    </row>
    <row r="583">
      <c r="A583" t="inlineStr">
        <is>
          <t>No</t>
        </is>
      </c>
      <c r="B583" t="inlineStr">
        <is>
          <t>CURAL</t>
        </is>
      </c>
      <c r="C583" t="inlineStr">
        <is>
          <t>SHELVES</t>
        </is>
      </c>
      <c r="D583" t="inlineStr">
        <is>
          <t>BL80.2 .M295 1987</t>
        </is>
      </c>
      <c r="E583" t="inlineStr">
        <is>
          <t>0                      BL 0080200M  295         1987</t>
        </is>
      </c>
      <c r="F583" t="inlineStr">
        <is>
          <t>A theology of world religions : interpreting God, self, and world in Semitic, Indian, and Chinese thought / Paul Varo Martinson.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M583" t="inlineStr">
        <is>
          <t>Martinson, Paul Varo, 1934-</t>
        </is>
      </c>
      <c r="N583" t="inlineStr">
        <is>
          <t>Minneapolis : Augsburg Pub. House, c1987.</t>
        </is>
      </c>
      <c r="O583" t="inlineStr">
        <is>
          <t>1987</t>
        </is>
      </c>
      <c r="Q583" t="inlineStr">
        <is>
          <t>eng</t>
        </is>
      </c>
      <c r="R583" t="inlineStr">
        <is>
          <t>mnu</t>
        </is>
      </c>
      <c r="T583" t="inlineStr">
        <is>
          <t xml:space="preserve">BL </t>
        </is>
      </c>
      <c r="U583" t="n">
        <v>2</v>
      </c>
      <c r="V583" t="n">
        <v>2</v>
      </c>
      <c r="W583" t="inlineStr">
        <is>
          <t>1994-04-19</t>
        </is>
      </c>
      <c r="X583" t="inlineStr">
        <is>
          <t>1994-04-19</t>
        </is>
      </c>
      <c r="Y583" t="inlineStr">
        <is>
          <t>1990-10-02</t>
        </is>
      </c>
      <c r="Z583" t="inlineStr">
        <is>
          <t>1990-10-02</t>
        </is>
      </c>
      <c r="AA583" t="n">
        <v>348</v>
      </c>
      <c r="AB583" t="n">
        <v>277</v>
      </c>
      <c r="AC583" t="n">
        <v>283</v>
      </c>
      <c r="AD583" t="n">
        <v>4</v>
      </c>
      <c r="AE583" t="n">
        <v>4</v>
      </c>
      <c r="AF583" t="n">
        <v>20</v>
      </c>
      <c r="AG583" t="n">
        <v>20</v>
      </c>
      <c r="AH583" t="n">
        <v>8</v>
      </c>
      <c r="AI583" t="n">
        <v>8</v>
      </c>
      <c r="AJ583" t="n">
        <v>2</v>
      </c>
      <c r="AK583" t="n">
        <v>2</v>
      </c>
      <c r="AL583" t="n">
        <v>11</v>
      </c>
      <c r="AM583" t="n">
        <v>11</v>
      </c>
      <c r="AN583" t="n">
        <v>3</v>
      </c>
      <c r="AO583" t="n">
        <v>3</v>
      </c>
      <c r="AP583" t="n">
        <v>0</v>
      </c>
      <c r="AQ583" t="n">
        <v>0</v>
      </c>
      <c r="AR583" t="inlineStr">
        <is>
          <t>No</t>
        </is>
      </c>
      <c r="AS583" t="inlineStr">
        <is>
          <t>Yes</t>
        </is>
      </c>
      <c r="AT583">
        <f>HYPERLINK("http://catalog.hathitrust.org/Record/000821537","HathiTrust Record")</f>
        <v/>
      </c>
      <c r="AU583">
        <f>HYPERLINK("https://creighton-primo.hosted.exlibrisgroup.com/primo-explore/search?tab=default_tab&amp;search_scope=EVERYTHING&amp;vid=01CRU&amp;lang=en_US&amp;offset=0&amp;query=any,contains,991000960819702656","Catalog Record")</f>
        <v/>
      </c>
      <c r="AV583">
        <f>HYPERLINK("http://www.worldcat.org/oclc/14818646","WorldCat Record")</f>
        <v/>
      </c>
      <c r="AW583" t="inlineStr">
        <is>
          <t>366919243:eng</t>
        </is>
      </c>
      <c r="AX583" t="inlineStr">
        <is>
          <t>14818646</t>
        </is>
      </c>
      <c r="AY583" t="inlineStr">
        <is>
          <t>991000960819702656</t>
        </is>
      </c>
      <c r="AZ583" t="inlineStr">
        <is>
          <t>991000960819702656</t>
        </is>
      </c>
      <c r="BA583" t="inlineStr">
        <is>
          <t>2263917860002656</t>
        </is>
      </c>
      <c r="BB583" t="inlineStr">
        <is>
          <t>BOOK</t>
        </is>
      </c>
      <c r="BD583" t="inlineStr">
        <is>
          <t>9780806622538</t>
        </is>
      </c>
      <c r="BE583" t="inlineStr">
        <is>
          <t>32285000330455</t>
        </is>
      </c>
      <c r="BF583" t="inlineStr">
        <is>
          <t>893444526</t>
        </is>
      </c>
    </row>
    <row r="584">
      <c r="A584" t="inlineStr">
        <is>
          <t>No</t>
        </is>
      </c>
      <c r="B584" t="inlineStr">
        <is>
          <t>CURAL</t>
        </is>
      </c>
      <c r="C584" t="inlineStr">
        <is>
          <t>SHELVES</t>
        </is>
      </c>
      <c r="D584" t="inlineStr">
        <is>
          <t>BL80.2 .N347</t>
        </is>
      </c>
      <c r="E584" t="inlineStr">
        <is>
          <t>0                      BL 0080200N  347</t>
        </is>
      </c>
      <c r="F584" t="inlineStr">
        <is>
          <t>Great religions of the world.</t>
        </is>
      </c>
      <c r="H584" t="inlineStr">
        <is>
          <t>No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M584" t="inlineStr">
        <is>
          <t>National Geographic Book Service.</t>
        </is>
      </c>
      <c r="N584" t="inlineStr">
        <is>
          <t>Washington, National Geographic Society [1971]</t>
        </is>
      </c>
      <c r="O584" t="inlineStr">
        <is>
          <t>1971</t>
        </is>
      </c>
      <c r="Q584" t="inlineStr">
        <is>
          <t>eng</t>
        </is>
      </c>
      <c r="R584" t="inlineStr">
        <is>
          <t>dcu</t>
        </is>
      </c>
      <c r="S584" t="inlineStr">
        <is>
          <t>The story of man library</t>
        </is>
      </c>
      <c r="T584" t="inlineStr">
        <is>
          <t xml:space="preserve">BL </t>
        </is>
      </c>
      <c r="U584" t="n">
        <v>12</v>
      </c>
      <c r="V584" t="n">
        <v>12</v>
      </c>
      <c r="W584" t="inlineStr">
        <is>
          <t>1997-09-16</t>
        </is>
      </c>
      <c r="X584" t="inlineStr">
        <is>
          <t>1997-09-16</t>
        </is>
      </c>
      <c r="Y584" t="inlineStr">
        <is>
          <t>1990-10-02</t>
        </is>
      </c>
      <c r="Z584" t="inlineStr">
        <is>
          <t>1990-10-02</t>
        </is>
      </c>
      <c r="AA584" t="n">
        <v>1812</v>
      </c>
      <c r="AB584" t="n">
        <v>1718</v>
      </c>
      <c r="AC584" t="n">
        <v>1953</v>
      </c>
      <c r="AD584" t="n">
        <v>21</v>
      </c>
      <c r="AE584" t="n">
        <v>24</v>
      </c>
      <c r="AF584" t="n">
        <v>34</v>
      </c>
      <c r="AG584" t="n">
        <v>39</v>
      </c>
      <c r="AH584" t="n">
        <v>12</v>
      </c>
      <c r="AI584" t="n">
        <v>14</v>
      </c>
      <c r="AJ584" t="n">
        <v>7</v>
      </c>
      <c r="AK584" t="n">
        <v>9</v>
      </c>
      <c r="AL584" t="n">
        <v>15</v>
      </c>
      <c r="AM584" t="n">
        <v>15</v>
      </c>
      <c r="AN584" t="n">
        <v>6</v>
      </c>
      <c r="AO584" t="n">
        <v>8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HYPERLINK("http://catalog.hathitrust.org/Record/001391716","HathiTrust Record")</f>
        <v/>
      </c>
      <c r="AU584">
        <f>HYPERLINK("https://creighton-primo.hosted.exlibrisgroup.com/primo-explore/search?tab=default_tab&amp;search_scope=EVERYTHING&amp;vid=01CRU&amp;lang=en_US&amp;offset=0&amp;query=any,contains,991001063269702656","Catalog Record")</f>
        <v/>
      </c>
      <c r="AV584">
        <f>HYPERLINK("http://www.worldcat.org/oclc/178161","WorldCat Record")</f>
        <v/>
      </c>
      <c r="AW584" t="inlineStr">
        <is>
          <t>1316013:eng</t>
        </is>
      </c>
      <c r="AX584" t="inlineStr">
        <is>
          <t>178161</t>
        </is>
      </c>
      <c r="AY584" t="inlineStr">
        <is>
          <t>991001063269702656</t>
        </is>
      </c>
      <c r="AZ584" t="inlineStr">
        <is>
          <t>991001063269702656</t>
        </is>
      </c>
      <c r="BA584" t="inlineStr">
        <is>
          <t>2264574240002656</t>
        </is>
      </c>
      <c r="BB584" t="inlineStr">
        <is>
          <t>BOOK</t>
        </is>
      </c>
      <c r="BD584" t="inlineStr">
        <is>
          <t>9780870441035</t>
        </is>
      </c>
      <c r="BE584" t="inlineStr">
        <is>
          <t>32285000330463</t>
        </is>
      </c>
      <c r="BF584" t="inlineStr">
        <is>
          <t>893444560</t>
        </is>
      </c>
    </row>
    <row r="585">
      <c r="A585" t="inlineStr">
        <is>
          <t>No</t>
        </is>
      </c>
      <c r="B585" t="inlineStr">
        <is>
          <t>CURAL</t>
        </is>
      </c>
      <c r="C585" t="inlineStr">
        <is>
          <t>SHELVES</t>
        </is>
      </c>
      <c r="D585" t="inlineStr">
        <is>
          <t>BL80.2 .N6 1969</t>
        </is>
      </c>
      <c r="E585" t="inlineStr">
        <is>
          <t>0                      BL 0080200N  6           1969</t>
        </is>
      </c>
      <c r="F585" t="inlineStr">
        <is>
          <t>Man's religions [by] John B. Noss.</t>
        </is>
      </c>
      <c r="H585" t="inlineStr">
        <is>
          <t>No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M585" t="inlineStr">
        <is>
          <t>Noss, John Boyer.</t>
        </is>
      </c>
      <c r="N585" t="inlineStr">
        <is>
          <t>[New York] Macmillan [1969]</t>
        </is>
      </c>
      <c r="O585" t="inlineStr">
        <is>
          <t>1969</t>
        </is>
      </c>
      <c r="P585" t="inlineStr">
        <is>
          <t>4th ed.</t>
        </is>
      </c>
      <c r="Q585" t="inlineStr">
        <is>
          <t>eng</t>
        </is>
      </c>
      <c r="R585" t="inlineStr">
        <is>
          <t>nyu</t>
        </is>
      </c>
      <c r="T585" t="inlineStr">
        <is>
          <t xml:space="preserve">BL </t>
        </is>
      </c>
      <c r="U585" t="n">
        <v>8</v>
      </c>
      <c r="V585" t="n">
        <v>8</v>
      </c>
      <c r="W585" t="inlineStr">
        <is>
          <t>2000-11-10</t>
        </is>
      </c>
      <c r="X585" t="inlineStr">
        <is>
          <t>2000-11-10</t>
        </is>
      </c>
      <c r="Y585" t="inlineStr">
        <is>
          <t>1990-10-02</t>
        </is>
      </c>
      <c r="Z585" t="inlineStr">
        <is>
          <t>1990-10-02</t>
        </is>
      </c>
      <c r="AA585" t="n">
        <v>612</v>
      </c>
      <c r="AB585" t="n">
        <v>529</v>
      </c>
      <c r="AC585" t="n">
        <v>1744</v>
      </c>
      <c r="AD585" t="n">
        <v>6</v>
      </c>
      <c r="AE585" t="n">
        <v>17</v>
      </c>
      <c r="AF585" t="n">
        <v>19</v>
      </c>
      <c r="AG585" t="n">
        <v>53</v>
      </c>
      <c r="AH585" t="n">
        <v>6</v>
      </c>
      <c r="AI585" t="n">
        <v>22</v>
      </c>
      <c r="AJ585" t="n">
        <v>4</v>
      </c>
      <c r="AK585" t="n">
        <v>9</v>
      </c>
      <c r="AL585" t="n">
        <v>9</v>
      </c>
      <c r="AM585" t="n">
        <v>22</v>
      </c>
      <c r="AN585" t="n">
        <v>4</v>
      </c>
      <c r="AO585" t="n">
        <v>10</v>
      </c>
      <c r="AP585" t="n">
        <v>0</v>
      </c>
      <c r="AQ585" t="n">
        <v>1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HYPERLINK("http://catalog.hathitrust.org/Record/102068061","HathiTrust Record")</f>
        <v/>
      </c>
      <c r="AU585">
        <f>HYPERLINK("https://creighton-primo.hosted.exlibrisgroup.com/primo-explore/search?tab=default_tab&amp;search_scope=EVERYTHING&amp;vid=01CRU&amp;lang=en_US&amp;offset=0&amp;query=any,contains,991005436169702656","Catalog Record")</f>
        <v/>
      </c>
      <c r="AV585">
        <f>HYPERLINK("http://www.worldcat.org/oclc/4179","WorldCat Record")</f>
        <v/>
      </c>
      <c r="AW585" t="inlineStr">
        <is>
          <t>1127666:eng</t>
        </is>
      </c>
      <c r="AX585" t="inlineStr">
        <is>
          <t>4179</t>
        </is>
      </c>
      <c r="AY585" t="inlineStr">
        <is>
          <t>991005436169702656</t>
        </is>
      </c>
      <c r="AZ585" t="inlineStr">
        <is>
          <t>991005436169702656</t>
        </is>
      </c>
      <c r="BA585" t="inlineStr">
        <is>
          <t>2266177300002656</t>
        </is>
      </c>
      <c r="BB585" t="inlineStr">
        <is>
          <t>BOOK</t>
        </is>
      </c>
      <c r="BE585" t="inlineStr">
        <is>
          <t>32285000330489</t>
        </is>
      </c>
      <c r="BF585" t="inlineStr">
        <is>
          <t>893871195</t>
        </is>
      </c>
    </row>
    <row r="586">
      <c r="A586" t="inlineStr">
        <is>
          <t>No</t>
        </is>
      </c>
      <c r="B586" t="inlineStr">
        <is>
          <t>CURAL</t>
        </is>
      </c>
      <c r="C586" t="inlineStr">
        <is>
          <t>SHELVES</t>
        </is>
      </c>
      <c r="D586" t="inlineStr">
        <is>
          <t>BL80.2 .P455 1990b</t>
        </is>
      </c>
      <c r="E586" t="inlineStr">
        <is>
          <t>0                      BL 0080200P  455         1990b</t>
        </is>
      </c>
      <c r="F586" t="inlineStr">
        <is>
          <t>Judaism, Christianity, and Islam : the classical texts and their interpretation / F.E. Peters.</t>
        </is>
      </c>
      <c r="G586" t="inlineStr">
        <is>
          <t>V.2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M586" t="inlineStr">
        <is>
          <t>Peters, F. E. (Francis E.)</t>
        </is>
      </c>
      <c r="N586" t="inlineStr">
        <is>
          <t>Princeton, N.J. : Princeton University Press, c1990.</t>
        </is>
      </c>
      <c r="O586" t="inlineStr">
        <is>
          <t>1990</t>
        </is>
      </c>
      <c r="Q586" t="inlineStr">
        <is>
          <t>eng</t>
        </is>
      </c>
      <c r="R586" t="inlineStr">
        <is>
          <t>nju</t>
        </is>
      </c>
      <c r="T586" t="inlineStr">
        <is>
          <t xml:space="preserve">BL </t>
        </is>
      </c>
      <c r="U586" t="n">
        <v>3</v>
      </c>
      <c r="V586" t="n">
        <v>7</v>
      </c>
      <c r="W586" t="inlineStr">
        <is>
          <t>1996-09-28</t>
        </is>
      </c>
      <c r="X586" t="inlineStr">
        <is>
          <t>1996-12-18</t>
        </is>
      </c>
      <c r="Y586" t="inlineStr">
        <is>
          <t>1991-12-30</t>
        </is>
      </c>
      <c r="Z586" t="inlineStr">
        <is>
          <t>1991-12-30</t>
        </is>
      </c>
      <c r="AA586" t="n">
        <v>378</v>
      </c>
      <c r="AB586" t="n">
        <v>309</v>
      </c>
      <c r="AC586" t="n">
        <v>806</v>
      </c>
      <c r="AD586" t="n">
        <v>3</v>
      </c>
      <c r="AE586" t="n">
        <v>7</v>
      </c>
      <c r="AF586" t="n">
        <v>17</v>
      </c>
      <c r="AG586" t="n">
        <v>48</v>
      </c>
      <c r="AH586" t="n">
        <v>7</v>
      </c>
      <c r="AI586" t="n">
        <v>19</v>
      </c>
      <c r="AJ586" t="n">
        <v>2</v>
      </c>
      <c r="AK586" t="n">
        <v>10</v>
      </c>
      <c r="AL586" t="n">
        <v>11</v>
      </c>
      <c r="AM586" t="n">
        <v>24</v>
      </c>
      <c r="AN586" t="n">
        <v>2</v>
      </c>
      <c r="AO586" t="n">
        <v>6</v>
      </c>
      <c r="AP586" t="n">
        <v>0</v>
      </c>
      <c r="AQ586" t="n">
        <v>1</v>
      </c>
      <c r="AR586" t="inlineStr">
        <is>
          <t>No</t>
        </is>
      </c>
      <c r="AS586" t="inlineStr">
        <is>
          <t>No</t>
        </is>
      </c>
      <c r="AU586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6">
        <f>HYPERLINK("http://www.worldcat.org/oclc/22987019","WorldCat Record")</f>
        <v/>
      </c>
      <c r="AW586" t="inlineStr">
        <is>
          <t>4535657348:eng</t>
        </is>
      </c>
      <c r="AX586" t="inlineStr">
        <is>
          <t>22987019</t>
        </is>
      </c>
      <c r="AY586" t="inlineStr">
        <is>
          <t>991001830559702656</t>
        </is>
      </c>
      <c r="AZ586" t="inlineStr">
        <is>
          <t>991001830559702656</t>
        </is>
      </c>
      <c r="BA586" t="inlineStr">
        <is>
          <t>2269815520002656</t>
        </is>
      </c>
      <c r="BB586" t="inlineStr">
        <is>
          <t>BOOK</t>
        </is>
      </c>
      <c r="BD586" t="inlineStr">
        <is>
          <t>9780691020556</t>
        </is>
      </c>
      <c r="BE586" t="inlineStr">
        <is>
          <t>32285000862465</t>
        </is>
      </c>
      <c r="BF586" t="inlineStr">
        <is>
          <t>893879222</t>
        </is>
      </c>
    </row>
    <row r="587">
      <c r="A587" t="inlineStr">
        <is>
          <t>No</t>
        </is>
      </c>
      <c r="B587" t="inlineStr">
        <is>
          <t>CURAL</t>
        </is>
      </c>
      <c r="C587" t="inlineStr">
        <is>
          <t>SHELVES</t>
        </is>
      </c>
      <c r="D587" t="inlineStr">
        <is>
          <t>BL80.2 .P455 1990b</t>
        </is>
      </c>
      <c r="E587" t="inlineStr">
        <is>
          <t>0                      BL 0080200P  455         1990b</t>
        </is>
      </c>
      <c r="F587" t="inlineStr">
        <is>
          <t>Judaism, Christianity, and Islam : the classical texts and their interpretation / F.E. Peters.</t>
        </is>
      </c>
      <c r="G587" t="inlineStr">
        <is>
          <t>V.1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M587" t="inlineStr">
        <is>
          <t>Peters, F. E. (Francis E.)</t>
        </is>
      </c>
      <c r="N587" t="inlineStr">
        <is>
          <t>Princeton, N.J. : Princeton University Press, c1990.</t>
        </is>
      </c>
      <c r="O587" t="inlineStr">
        <is>
          <t>1990</t>
        </is>
      </c>
      <c r="Q587" t="inlineStr">
        <is>
          <t>eng</t>
        </is>
      </c>
      <c r="R587" t="inlineStr">
        <is>
          <t>nju</t>
        </is>
      </c>
      <c r="T587" t="inlineStr">
        <is>
          <t xml:space="preserve">BL </t>
        </is>
      </c>
      <c r="U587" t="n">
        <v>2</v>
      </c>
      <c r="V587" t="n">
        <v>7</v>
      </c>
      <c r="W587" t="inlineStr">
        <is>
          <t>1996-12-18</t>
        </is>
      </c>
      <c r="X587" t="inlineStr">
        <is>
          <t>1996-12-18</t>
        </is>
      </c>
      <c r="Y587" t="inlineStr">
        <is>
          <t>1991-12-30</t>
        </is>
      </c>
      <c r="Z587" t="inlineStr">
        <is>
          <t>1991-12-30</t>
        </is>
      </c>
      <c r="AA587" t="n">
        <v>378</v>
      </c>
      <c r="AB587" t="n">
        <v>309</v>
      </c>
      <c r="AC587" t="n">
        <v>806</v>
      </c>
      <c r="AD587" t="n">
        <v>3</v>
      </c>
      <c r="AE587" t="n">
        <v>7</v>
      </c>
      <c r="AF587" t="n">
        <v>17</v>
      </c>
      <c r="AG587" t="n">
        <v>48</v>
      </c>
      <c r="AH587" t="n">
        <v>7</v>
      </c>
      <c r="AI587" t="n">
        <v>19</v>
      </c>
      <c r="AJ587" t="n">
        <v>2</v>
      </c>
      <c r="AK587" t="n">
        <v>10</v>
      </c>
      <c r="AL587" t="n">
        <v>11</v>
      </c>
      <c r="AM587" t="n">
        <v>24</v>
      </c>
      <c r="AN587" t="n">
        <v>2</v>
      </c>
      <c r="AO587" t="n">
        <v>6</v>
      </c>
      <c r="AP587" t="n">
        <v>0</v>
      </c>
      <c r="AQ587" t="n">
        <v>1</v>
      </c>
      <c r="AR587" t="inlineStr">
        <is>
          <t>No</t>
        </is>
      </c>
      <c r="AS587" t="inlineStr">
        <is>
          <t>No</t>
        </is>
      </c>
      <c r="AU587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7">
        <f>HYPERLINK("http://www.worldcat.org/oclc/22987019","WorldCat Record")</f>
        <v/>
      </c>
      <c r="AW587" t="inlineStr">
        <is>
          <t>4535657348:eng</t>
        </is>
      </c>
      <c r="AX587" t="inlineStr">
        <is>
          <t>22987019</t>
        </is>
      </c>
      <c r="AY587" t="inlineStr">
        <is>
          <t>991001830559702656</t>
        </is>
      </c>
      <c r="AZ587" t="inlineStr">
        <is>
          <t>991001830559702656</t>
        </is>
      </c>
      <c r="BA587" t="inlineStr">
        <is>
          <t>2269815520002656</t>
        </is>
      </c>
      <c r="BB587" t="inlineStr">
        <is>
          <t>BOOK</t>
        </is>
      </c>
      <c r="BD587" t="inlineStr">
        <is>
          <t>9780691020556</t>
        </is>
      </c>
      <c r="BE587" t="inlineStr">
        <is>
          <t>32285000862457</t>
        </is>
      </c>
      <c r="BF587" t="inlineStr">
        <is>
          <t>893891869</t>
        </is>
      </c>
    </row>
    <row r="588">
      <c r="A588" t="inlineStr">
        <is>
          <t>No</t>
        </is>
      </c>
      <c r="B588" t="inlineStr">
        <is>
          <t>CURAL</t>
        </is>
      </c>
      <c r="C588" t="inlineStr">
        <is>
          <t>SHELVES</t>
        </is>
      </c>
      <c r="D588" t="inlineStr">
        <is>
          <t>BL80.2 .P455 1990b</t>
        </is>
      </c>
      <c r="E588" t="inlineStr">
        <is>
          <t>0                      BL 0080200P  455         1990b</t>
        </is>
      </c>
      <c r="F588" t="inlineStr">
        <is>
          <t>Judaism, Christianity, and Islam : the classical texts and their interpretation / F.E. Peters.</t>
        </is>
      </c>
      <c r="G588" t="inlineStr">
        <is>
          <t>V.3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M588" t="inlineStr">
        <is>
          <t>Peters, F. E. (Francis E.)</t>
        </is>
      </c>
      <c r="N588" t="inlineStr">
        <is>
          <t>Princeton, N.J. : Princeton University Press, c1990.</t>
        </is>
      </c>
      <c r="O588" t="inlineStr">
        <is>
          <t>1990</t>
        </is>
      </c>
      <c r="Q588" t="inlineStr">
        <is>
          <t>eng</t>
        </is>
      </c>
      <c r="R588" t="inlineStr">
        <is>
          <t>nju</t>
        </is>
      </c>
      <c r="T588" t="inlineStr">
        <is>
          <t xml:space="preserve">BL </t>
        </is>
      </c>
      <c r="U588" t="n">
        <v>2</v>
      </c>
      <c r="V588" t="n">
        <v>7</v>
      </c>
      <c r="W588" t="inlineStr">
        <is>
          <t>1992-11-19</t>
        </is>
      </c>
      <c r="X588" t="inlineStr">
        <is>
          <t>1996-12-18</t>
        </is>
      </c>
      <c r="Y588" t="inlineStr">
        <is>
          <t>1991-12-30</t>
        </is>
      </c>
      <c r="Z588" t="inlineStr">
        <is>
          <t>1991-12-30</t>
        </is>
      </c>
      <c r="AA588" t="n">
        <v>378</v>
      </c>
      <c r="AB588" t="n">
        <v>309</v>
      </c>
      <c r="AC588" t="n">
        <v>806</v>
      </c>
      <c r="AD588" t="n">
        <v>3</v>
      </c>
      <c r="AE588" t="n">
        <v>7</v>
      </c>
      <c r="AF588" t="n">
        <v>17</v>
      </c>
      <c r="AG588" t="n">
        <v>48</v>
      </c>
      <c r="AH588" t="n">
        <v>7</v>
      </c>
      <c r="AI588" t="n">
        <v>19</v>
      </c>
      <c r="AJ588" t="n">
        <v>2</v>
      </c>
      <c r="AK588" t="n">
        <v>10</v>
      </c>
      <c r="AL588" t="n">
        <v>11</v>
      </c>
      <c r="AM588" t="n">
        <v>24</v>
      </c>
      <c r="AN588" t="n">
        <v>2</v>
      </c>
      <c r="AO588" t="n">
        <v>6</v>
      </c>
      <c r="AP588" t="n">
        <v>0</v>
      </c>
      <c r="AQ588" t="n">
        <v>1</v>
      </c>
      <c r="AR588" t="inlineStr">
        <is>
          <t>No</t>
        </is>
      </c>
      <c r="AS588" t="inlineStr">
        <is>
          <t>No</t>
        </is>
      </c>
      <c r="AU588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8">
        <f>HYPERLINK("http://www.worldcat.org/oclc/22987019","WorldCat Record")</f>
        <v/>
      </c>
      <c r="AW588" t="inlineStr">
        <is>
          <t>4535657348:eng</t>
        </is>
      </c>
      <c r="AX588" t="inlineStr">
        <is>
          <t>22987019</t>
        </is>
      </c>
      <c r="AY588" t="inlineStr">
        <is>
          <t>991001830559702656</t>
        </is>
      </c>
      <c r="AZ588" t="inlineStr">
        <is>
          <t>991001830559702656</t>
        </is>
      </c>
      <c r="BA588" t="inlineStr">
        <is>
          <t>2269815520002656</t>
        </is>
      </c>
      <c r="BB588" t="inlineStr">
        <is>
          <t>BOOK</t>
        </is>
      </c>
      <c r="BD588" t="inlineStr">
        <is>
          <t>9780691020556</t>
        </is>
      </c>
      <c r="BE588" t="inlineStr">
        <is>
          <t>32285000862473</t>
        </is>
      </c>
      <c r="BF588" t="inlineStr">
        <is>
          <t>893872833</t>
        </is>
      </c>
    </row>
    <row r="589">
      <c r="A589" t="inlineStr">
        <is>
          <t>No</t>
        </is>
      </c>
      <c r="B589" t="inlineStr">
        <is>
          <t>CURAL</t>
        </is>
      </c>
      <c r="C589" t="inlineStr">
        <is>
          <t>SHELVES</t>
        </is>
      </c>
      <c r="D589" t="inlineStr">
        <is>
          <t>BL80.2 .R44 1983</t>
        </is>
      </c>
      <c r="E589" t="inlineStr">
        <is>
          <t>0                      BL 0080200R  44          1983</t>
        </is>
      </c>
      <c r="F589" t="inlineStr">
        <is>
          <t>Religions of the world / Niels C. Nielsen, Jr. ... [et al.].</t>
        </is>
      </c>
      <c r="H589" t="inlineStr">
        <is>
          <t>No</t>
        </is>
      </c>
      <c r="I589" t="inlineStr">
        <is>
          <t>1</t>
        </is>
      </c>
      <c r="J589" t="inlineStr">
        <is>
          <t>No</t>
        </is>
      </c>
      <c r="K589" t="inlineStr">
        <is>
          <t>Yes</t>
        </is>
      </c>
      <c r="L589" t="inlineStr">
        <is>
          <t>0</t>
        </is>
      </c>
      <c r="N589" t="inlineStr">
        <is>
          <t>New York : St. Martin's Press, c1983.</t>
        </is>
      </c>
      <c r="O589" t="inlineStr">
        <is>
          <t>1983</t>
        </is>
      </c>
      <c r="Q589" t="inlineStr">
        <is>
          <t>eng</t>
        </is>
      </c>
      <c r="R589" t="inlineStr">
        <is>
          <t>nyu</t>
        </is>
      </c>
      <c r="T589" t="inlineStr">
        <is>
          <t xml:space="preserve">BL </t>
        </is>
      </c>
      <c r="U589" t="n">
        <v>1</v>
      </c>
      <c r="V589" t="n">
        <v>1</v>
      </c>
      <c r="W589" t="inlineStr">
        <is>
          <t>2008-06-09</t>
        </is>
      </c>
      <c r="X589" t="inlineStr">
        <is>
          <t>2008-06-09</t>
        </is>
      </c>
      <c r="Y589" t="inlineStr">
        <is>
          <t>2008-06-09</t>
        </is>
      </c>
      <c r="Z589" t="inlineStr">
        <is>
          <t>2008-06-09</t>
        </is>
      </c>
      <c r="AA589" t="n">
        <v>330</v>
      </c>
      <c r="AB589" t="n">
        <v>278</v>
      </c>
      <c r="AC589" t="n">
        <v>536</v>
      </c>
      <c r="AD589" t="n">
        <v>2</v>
      </c>
      <c r="AE589" t="n">
        <v>6</v>
      </c>
      <c r="AF589" t="n">
        <v>13</v>
      </c>
      <c r="AG589" t="n">
        <v>28</v>
      </c>
      <c r="AH589" t="n">
        <v>3</v>
      </c>
      <c r="AI589" t="n">
        <v>9</v>
      </c>
      <c r="AJ589" t="n">
        <v>4</v>
      </c>
      <c r="AK589" t="n">
        <v>6</v>
      </c>
      <c r="AL589" t="n">
        <v>10</v>
      </c>
      <c r="AM589" t="n">
        <v>16</v>
      </c>
      <c r="AN589" t="n">
        <v>1</v>
      </c>
      <c r="AO589" t="n">
        <v>5</v>
      </c>
      <c r="AP589" t="n">
        <v>0</v>
      </c>
      <c r="AQ589" t="n">
        <v>0</v>
      </c>
      <c r="AR589" t="inlineStr">
        <is>
          <t>No</t>
        </is>
      </c>
      <c r="AS589" t="inlineStr">
        <is>
          <t>No</t>
        </is>
      </c>
      <c r="AU589">
        <f>HYPERLINK("https://creighton-primo.hosted.exlibrisgroup.com/primo-explore/search?tab=default_tab&amp;search_scope=EVERYTHING&amp;vid=01CRU&amp;lang=en_US&amp;offset=0&amp;query=any,contains,991005232209702656","Catalog Record")</f>
        <v/>
      </c>
      <c r="AV589">
        <f>HYPERLINK("http://www.worldcat.org/oclc/8893984","WorldCat Record")</f>
        <v/>
      </c>
      <c r="AW589" t="inlineStr">
        <is>
          <t>54529241:eng</t>
        </is>
      </c>
      <c r="AX589" t="inlineStr">
        <is>
          <t>8893984</t>
        </is>
      </c>
      <c r="AY589" t="inlineStr">
        <is>
          <t>991005232209702656</t>
        </is>
      </c>
      <c r="AZ589" t="inlineStr">
        <is>
          <t>991005232209702656</t>
        </is>
      </c>
      <c r="BA589" t="inlineStr">
        <is>
          <t>2260418370002656</t>
        </is>
      </c>
      <c r="BB589" t="inlineStr">
        <is>
          <t>BOOK</t>
        </is>
      </c>
      <c r="BD589" t="inlineStr">
        <is>
          <t>9780312671211</t>
        </is>
      </c>
      <c r="BE589" t="inlineStr">
        <is>
          <t>32285005443881</t>
        </is>
      </c>
      <c r="BF589" t="inlineStr">
        <is>
          <t>893789654</t>
        </is>
      </c>
    </row>
    <row r="590">
      <c r="A590" t="inlineStr">
        <is>
          <t>No</t>
        </is>
      </c>
      <c r="B590" t="inlineStr">
        <is>
          <t>CURAL</t>
        </is>
      </c>
      <c r="C590" t="inlineStr">
        <is>
          <t>SHELVES</t>
        </is>
      </c>
      <c r="D590" t="inlineStr">
        <is>
          <t>BL80.2 .R66</t>
        </is>
      </c>
      <c r="E590" t="inlineStr">
        <is>
          <t>0                      BL 0080200R  66</t>
        </is>
      </c>
      <c r="F590" t="inlineStr">
        <is>
          <t>New gods in America; an informal investigation into the new religions of American youth today.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M590" t="inlineStr">
        <is>
          <t>Rowley, Peter.</t>
        </is>
      </c>
      <c r="N590" t="inlineStr">
        <is>
          <t>New York, D. McKay Co. [1971]</t>
        </is>
      </c>
      <c r="O590" t="inlineStr">
        <is>
          <t>1971</t>
        </is>
      </c>
      <c r="Q590" t="inlineStr">
        <is>
          <t>eng</t>
        </is>
      </c>
      <c r="R590" t="inlineStr">
        <is>
          <t>nyu</t>
        </is>
      </c>
      <c r="T590" t="inlineStr">
        <is>
          <t xml:space="preserve">BL </t>
        </is>
      </c>
      <c r="U590" t="n">
        <v>3</v>
      </c>
      <c r="V590" t="n">
        <v>3</v>
      </c>
      <c r="W590" t="inlineStr">
        <is>
          <t>1997-10-03</t>
        </is>
      </c>
      <c r="X590" t="inlineStr">
        <is>
          <t>1997-10-03</t>
        </is>
      </c>
      <c r="Y590" t="inlineStr">
        <is>
          <t>1990-10-02</t>
        </is>
      </c>
      <c r="Z590" t="inlineStr">
        <is>
          <t>1990-10-02</t>
        </is>
      </c>
      <c r="AA590" t="n">
        <v>619</v>
      </c>
      <c r="AB590" t="n">
        <v>585</v>
      </c>
      <c r="AC590" t="n">
        <v>587</v>
      </c>
      <c r="AD590" t="n">
        <v>5</v>
      </c>
      <c r="AE590" t="n">
        <v>5</v>
      </c>
      <c r="AF590" t="n">
        <v>16</v>
      </c>
      <c r="AG590" t="n">
        <v>16</v>
      </c>
      <c r="AH590" t="n">
        <v>3</v>
      </c>
      <c r="AI590" t="n">
        <v>3</v>
      </c>
      <c r="AJ590" t="n">
        <v>3</v>
      </c>
      <c r="AK590" t="n">
        <v>3</v>
      </c>
      <c r="AL590" t="n">
        <v>11</v>
      </c>
      <c r="AM590" t="n">
        <v>11</v>
      </c>
      <c r="AN590" t="n">
        <v>2</v>
      </c>
      <c r="AO590" t="n">
        <v>2</v>
      </c>
      <c r="AP590" t="n">
        <v>0</v>
      </c>
      <c r="AQ590" t="n">
        <v>0</v>
      </c>
      <c r="AR590" t="inlineStr">
        <is>
          <t>No</t>
        </is>
      </c>
      <c r="AS590" t="inlineStr">
        <is>
          <t>Yes</t>
        </is>
      </c>
      <c r="AT590">
        <f>HYPERLINK("http://catalog.hathitrust.org/Record/001391728","HathiTrust Record")</f>
        <v/>
      </c>
      <c r="AU590">
        <f>HYPERLINK("https://creighton-primo.hosted.exlibrisgroup.com/primo-explore/search?tab=default_tab&amp;search_scope=EVERYTHING&amp;vid=01CRU&amp;lang=en_US&amp;offset=0&amp;query=any,contains,991000925749702656","Catalog Record")</f>
        <v/>
      </c>
      <c r="AV590">
        <f>HYPERLINK("http://www.worldcat.org/oclc/163283","WorldCat Record")</f>
        <v/>
      </c>
      <c r="AW590" t="inlineStr">
        <is>
          <t>1274814:eng</t>
        </is>
      </c>
      <c r="AX590" t="inlineStr">
        <is>
          <t>163283</t>
        </is>
      </c>
      <c r="AY590" t="inlineStr">
        <is>
          <t>991000925749702656</t>
        </is>
      </c>
      <c r="AZ590" t="inlineStr">
        <is>
          <t>991000925749702656</t>
        </is>
      </c>
      <c r="BA590" t="inlineStr">
        <is>
          <t>2272134640002656</t>
        </is>
      </c>
      <c r="BB590" t="inlineStr">
        <is>
          <t>BOOK</t>
        </is>
      </c>
      <c r="BE590" t="inlineStr">
        <is>
          <t>32285000330513</t>
        </is>
      </c>
      <c r="BF590" t="inlineStr">
        <is>
          <t>893515748</t>
        </is>
      </c>
    </row>
    <row r="591">
      <c r="A591" t="inlineStr">
        <is>
          <t>No</t>
        </is>
      </c>
      <c r="B591" t="inlineStr">
        <is>
          <t>CURAL</t>
        </is>
      </c>
      <c r="C591" t="inlineStr">
        <is>
          <t>SHELVES</t>
        </is>
      </c>
      <c r="D591" t="inlineStr">
        <is>
          <t>BL80.2 .S593 1981</t>
        </is>
      </c>
      <c r="E591" t="inlineStr">
        <is>
          <t>0                      BL 0080200S  593         1981</t>
        </is>
      </c>
      <c r="F591" t="inlineStr">
        <is>
          <t>Beyond ideology, religion and the future of Western civilization / Ninian Smart.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Smart, Ninian, 1927-2001.</t>
        </is>
      </c>
      <c r="N591" t="inlineStr">
        <is>
          <t>San Francisco : Harper &amp; Row, c1981.</t>
        </is>
      </c>
      <c r="O591" t="inlineStr">
        <is>
          <t>1981</t>
        </is>
      </c>
      <c r="Q591" t="inlineStr">
        <is>
          <t>eng</t>
        </is>
      </c>
      <c r="R591" t="inlineStr">
        <is>
          <t>cau</t>
        </is>
      </c>
      <c r="T591" t="inlineStr">
        <is>
          <t xml:space="preserve">BL </t>
        </is>
      </c>
      <c r="U591" t="n">
        <v>7</v>
      </c>
      <c r="V591" t="n">
        <v>7</v>
      </c>
      <c r="W591" t="inlineStr">
        <is>
          <t>1998-04-18</t>
        </is>
      </c>
      <c r="X591" t="inlineStr">
        <is>
          <t>1998-04-18</t>
        </is>
      </c>
      <c r="Y591" t="inlineStr">
        <is>
          <t>1990-10-02</t>
        </is>
      </c>
      <c r="Z591" t="inlineStr">
        <is>
          <t>1990-10-02</t>
        </is>
      </c>
      <c r="AA591" t="n">
        <v>615</v>
      </c>
      <c r="AB591" t="n">
        <v>569</v>
      </c>
      <c r="AC591" t="n">
        <v>603</v>
      </c>
      <c r="AD591" t="n">
        <v>3</v>
      </c>
      <c r="AE591" t="n">
        <v>3</v>
      </c>
      <c r="AF591" t="n">
        <v>28</v>
      </c>
      <c r="AG591" t="n">
        <v>28</v>
      </c>
      <c r="AH591" t="n">
        <v>12</v>
      </c>
      <c r="AI591" t="n">
        <v>12</v>
      </c>
      <c r="AJ591" t="n">
        <v>8</v>
      </c>
      <c r="AK591" t="n">
        <v>8</v>
      </c>
      <c r="AL591" t="n">
        <v>17</v>
      </c>
      <c r="AM591" t="n">
        <v>17</v>
      </c>
      <c r="AN591" t="n">
        <v>1</v>
      </c>
      <c r="AO591" t="n">
        <v>1</v>
      </c>
      <c r="AP591" t="n">
        <v>0</v>
      </c>
      <c r="AQ591" t="n">
        <v>0</v>
      </c>
      <c r="AR591" t="inlineStr">
        <is>
          <t>No</t>
        </is>
      </c>
      <c r="AS591" t="inlineStr">
        <is>
          <t>No</t>
        </is>
      </c>
      <c r="AU591">
        <f>HYPERLINK("https://creighton-primo.hosted.exlibrisgroup.com/primo-explore/search?tab=default_tab&amp;search_scope=EVERYTHING&amp;vid=01CRU&amp;lang=en_US&amp;offset=0&amp;query=any,contains,991005127939702656","Catalog Record")</f>
        <v/>
      </c>
      <c r="AV591">
        <f>HYPERLINK("http://www.worldcat.org/oclc/7554815","WorldCat Record")</f>
        <v/>
      </c>
      <c r="AW591" t="inlineStr">
        <is>
          <t>141495767:eng</t>
        </is>
      </c>
      <c r="AX591" t="inlineStr">
        <is>
          <t>7554815</t>
        </is>
      </c>
      <c r="AY591" t="inlineStr">
        <is>
          <t>991005127939702656</t>
        </is>
      </c>
      <c r="AZ591" t="inlineStr">
        <is>
          <t>991005127939702656</t>
        </is>
      </c>
      <c r="BA591" t="inlineStr">
        <is>
          <t>2264615070002656</t>
        </is>
      </c>
      <c r="BB591" t="inlineStr">
        <is>
          <t>BOOK</t>
        </is>
      </c>
      <c r="BD591" t="inlineStr">
        <is>
          <t>9780060674021</t>
        </is>
      </c>
      <c r="BE591" t="inlineStr">
        <is>
          <t>32285000330539</t>
        </is>
      </c>
      <c r="BF591" t="inlineStr">
        <is>
          <t>893895926</t>
        </is>
      </c>
    </row>
    <row r="592">
      <c r="A592" t="inlineStr">
        <is>
          <t>No</t>
        </is>
      </c>
      <c r="B592" t="inlineStr">
        <is>
          <t>CURAL</t>
        </is>
      </c>
      <c r="C592" t="inlineStr">
        <is>
          <t>SHELVES</t>
        </is>
      </c>
      <c r="D592" t="inlineStr">
        <is>
          <t>BL80.2 .S6 1976</t>
        </is>
      </c>
      <c r="E592" t="inlineStr">
        <is>
          <t>0                      BL 0080200S  6           1976</t>
        </is>
      </c>
      <c r="F592" t="inlineStr">
        <is>
          <t>The religious experience of mankind / by Ninian Smart.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M592" t="inlineStr">
        <is>
          <t>Smart, Ninian, 1927-2001.</t>
        </is>
      </c>
      <c r="N592" t="inlineStr">
        <is>
          <t>New York : Scribner, c1976.</t>
        </is>
      </c>
      <c r="O592" t="inlineStr">
        <is>
          <t>1976</t>
        </is>
      </c>
      <c r="P592" t="inlineStr">
        <is>
          <t>2d ed.</t>
        </is>
      </c>
      <c r="Q592" t="inlineStr">
        <is>
          <t>eng</t>
        </is>
      </c>
      <c r="R592" t="inlineStr">
        <is>
          <t>nyu</t>
        </is>
      </c>
      <c r="T592" t="inlineStr">
        <is>
          <t xml:space="preserve">BL </t>
        </is>
      </c>
      <c r="U592" t="n">
        <v>5</v>
      </c>
      <c r="V592" t="n">
        <v>5</v>
      </c>
      <c r="W592" t="inlineStr">
        <is>
          <t>2005-04-16</t>
        </is>
      </c>
      <c r="X592" t="inlineStr">
        <is>
          <t>2005-04-16</t>
        </is>
      </c>
      <c r="Y592" t="inlineStr">
        <is>
          <t>1990-10-02</t>
        </is>
      </c>
      <c r="Z592" t="inlineStr">
        <is>
          <t>1990-10-02</t>
        </is>
      </c>
      <c r="AA592" t="n">
        <v>525</v>
      </c>
      <c r="AB592" t="n">
        <v>463</v>
      </c>
      <c r="AC592" t="n">
        <v>1296</v>
      </c>
      <c r="AD592" t="n">
        <v>1</v>
      </c>
      <c r="AE592" t="n">
        <v>6</v>
      </c>
      <c r="AF592" t="n">
        <v>14</v>
      </c>
      <c r="AG592" t="n">
        <v>45</v>
      </c>
      <c r="AH592" t="n">
        <v>8</v>
      </c>
      <c r="AI592" t="n">
        <v>19</v>
      </c>
      <c r="AJ592" t="n">
        <v>4</v>
      </c>
      <c r="AK592" t="n">
        <v>10</v>
      </c>
      <c r="AL592" t="n">
        <v>9</v>
      </c>
      <c r="AM592" t="n">
        <v>21</v>
      </c>
      <c r="AN592" t="n">
        <v>0</v>
      </c>
      <c r="AO592" t="n">
        <v>4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HYPERLINK("http://catalog.hathitrust.org/Record/000709479","HathiTrust Record")</f>
        <v/>
      </c>
      <c r="AU592">
        <f>HYPERLINK("https://creighton-primo.hosted.exlibrisgroup.com/primo-explore/search?tab=default_tab&amp;search_scope=EVERYTHING&amp;vid=01CRU&amp;lang=en_US&amp;offset=0&amp;query=any,contains,991004057029702656","Catalog Record")</f>
        <v/>
      </c>
      <c r="AV592">
        <f>HYPERLINK("http://www.worldcat.org/oclc/2228208","WorldCat Record")</f>
        <v/>
      </c>
      <c r="AW592" t="inlineStr">
        <is>
          <t>141495765:eng</t>
        </is>
      </c>
      <c r="AX592" t="inlineStr">
        <is>
          <t>2228208</t>
        </is>
      </c>
      <c r="AY592" t="inlineStr">
        <is>
          <t>991004057029702656</t>
        </is>
      </c>
      <c r="AZ592" t="inlineStr">
        <is>
          <t>991004057029702656</t>
        </is>
      </c>
      <c r="BA592" t="inlineStr">
        <is>
          <t>2270304180002656</t>
        </is>
      </c>
      <c r="BB592" t="inlineStr">
        <is>
          <t>BOOK</t>
        </is>
      </c>
      <c r="BD592" t="inlineStr">
        <is>
          <t>9780684146478</t>
        </is>
      </c>
      <c r="BE592" t="inlineStr">
        <is>
          <t>32285000330554</t>
        </is>
      </c>
      <c r="BF592" t="inlineStr">
        <is>
          <t>893900739</t>
        </is>
      </c>
    </row>
    <row r="593">
      <c r="A593" t="inlineStr">
        <is>
          <t>No</t>
        </is>
      </c>
      <c r="B593" t="inlineStr">
        <is>
          <t>CURAL</t>
        </is>
      </c>
      <c r="C593" t="inlineStr">
        <is>
          <t>SHELVES</t>
        </is>
      </c>
      <c r="D593" t="inlineStr">
        <is>
          <t>BL80.2 .S62 1983</t>
        </is>
      </c>
      <c r="E593" t="inlineStr">
        <is>
          <t>0                      BL 0080200S  62          1983</t>
        </is>
      </c>
      <c r="F593" t="inlineStr">
        <is>
          <t>Worldviews, crosscultural explorations of human beliefs / Ninian Smart.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Smart, Ninian, 1927-2001.</t>
        </is>
      </c>
      <c r="N593" t="inlineStr">
        <is>
          <t>New York : Scribner's, c1983.</t>
        </is>
      </c>
      <c r="O593" t="inlineStr">
        <is>
          <t>1983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BL </t>
        </is>
      </c>
      <c r="U593" t="n">
        <v>8</v>
      </c>
      <c r="V593" t="n">
        <v>8</v>
      </c>
      <c r="W593" t="inlineStr">
        <is>
          <t>2003-04-03</t>
        </is>
      </c>
      <c r="X593" t="inlineStr">
        <is>
          <t>2003-04-03</t>
        </is>
      </c>
      <c r="Y593" t="inlineStr">
        <is>
          <t>1990-10-02</t>
        </is>
      </c>
      <c r="Z593" t="inlineStr">
        <is>
          <t>1990-10-02</t>
        </is>
      </c>
      <c r="AA593" t="n">
        <v>781</v>
      </c>
      <c r="AB593" t="n">
        <v>687</v>
      </c>
      <c r="AC593" t="n">
        <v>922</v>
      </c>
      <c r="AD593" t="n">
        <v>4</v>
      </c>
      <c r="AE593" t="n">
        <v>6</v>
      </c>
      <c r="AF593" t="n">
        <v>36</v>
      </c>
      <c r="AG593" t="n">
        <v>45</v>
      </c>
      <c r="AH593" t="n">
        <v>15</v>
      </c>
      <c r="AI593" t="n">
        <v>18</v>
      </c>
      <c r="AJ593" t="n">
        <v>6</v>
      </c>
      <c r="AK593" t="n">
        <v>8</v>
      </c>
      <c r="AL593" t="n">
        <v>18</v>
      </c>
      <c r="AM593" t="n">
        <v>22</v>
      </c>
      <c r="AN593" t="n">
        <v>2</v>
      </c>
      <c r="AO593" t="n">
        <v>4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HYPERLINK("http://catalog.hathitrust.org/Record/101897198","HathiTrust Record")</f>
        <v/>
      </c>
      <c r="AU593">
        <f>HYPERLINK("https://creighton-primo.hosted.exlibrisgroup.com/primo-explore/search?tab=default_tab&amp;search_scope=EVERYTHING&amp;vid=01CRU&amp;lang=en_US&amp;offset=0&amp;query=any,contains,991000071779702656","Catalog Record")</f>
        <v/>
      </c>
      <c r="AV593">
        <f>HYPERLINK("http://www.worldcat.org/oclc/8785433","WorldCat Record")</f>
        <v/>
      </c>
      <c r="AW593" t="inlineStr">
        <is>
          <t>196754939:eng</t>
        </is>
      </c>
      <c r="AX593" t="inlineStr">
        <is>
          <t>8785433</t>
        </is>
      </c>
      <c r="AY593" t="inlineStr">
        <is>
          <t>991000071779702656</t>
        </is>
      </c>
      <c r="AZ593" t="inlineStr">
        <is>
          <t>991000071779702656</t>
        </is>
      </c>
      <c r="BA593" t="inlineStr">
        <is>
          <t>2266937530002656</t>
        </is>
      </c>
      <c r="BB593" t="inlineStr">
        <is>
          <t>BOOK</t>
        </is>
      </c>
      <c r="BD593" t="inlineStr">
        <is>
          <t>9780684178127</t>
        </is>
      </c>
      <c r="BE593" t="inlineStr">
        <is>
          <t>32285000330562</t>
        </is>
      </c>
      <c r="BF593" t="inlineStr">
        <is>
          <t>893613854</t>
        </is>
      </c>
    </row>
    <row r="594">
      <c r="A594" t="inlineStr">
        <is>
          <t>No</t>
        </is>
      </c>
      <c r="B594" t="inlineStr">
        <is>
          <t>CURAL</t>
        </is>
      </c>
      <c r="C594" t="inlineStr">
        <is>
          <t>SHELVES</t>
        </is>
      </c>
      <c r="D594" t="inlineStr">
        <is>
          <t>BL80.2 .S623 1994</t>
        </is>
      </c>
      <c r="E594" t="inlineStr">
        <is>
          <t>0                      BL 0080200S  623         1994</t>
        </is>
      </c>
      <c r="F594" t="inlineStr">
        <is>
          <t>Religions of the West / Ninian Smart.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No</t>
        </is>
      </c>
      <c r="L594" t="inlineStr">
        <is>
          <t>0</t>
        </is>
      </c>
      <c r="M594" t="inlineStr">
        <is>
          <t>Smart, Ninian, 1927-2001.</t>
        </is>
      </c>
      <c r="N594" t="inlineStr">
        <is>
          <t>Englewood Cliffs, N.J. : Prentice Hall, c1994.</t>
        </is>
      </c>
      <c r="O594" t="inlineStr">
        <is>
          <t>1994</t>
        </is>
      </c>
      <c r="Q594" t="inlineStr">
        <is>
          <t>eng</t>
        </is>
      </c>
      <c r="R594" t="inlineStr">
        <is>
          <t>nju</t>
        </is>
      </c>
      <c r="T594" t="inlineStr">
        <is>
          <t xml:space="preserve">BL </t>
        </is>
      </c>
      <c r="U594" t="n">
        <v>1</v>
      </c>
      <c r="V594" t="n">
        <v>1</v>
      </c>
      <c r="W594" t="inlineStr">
        <is>
          <t>2008-12-12</t>
        </is>
      </c>
      <c r="X594" t="inlineStr">
        <is>
          <t>2008-12-12</t>
        </is>
      </c>
      <c r="Y594" t="inlineStr">
        <is>
          <t>2008-12-12</t>
        </is>
      </c>
      <c r="Z594" t="inlineStr">
        <is>
          <t>2008-12-12</t>
        </is>
      </c>
      <c r="AA594" t="n">
        <v>119</v>
      </c>
      <c r="AB594" t="n">
        <v>98</v>
      </c>
      <c r="AC594" t="n">
        <v>104</v>
      </c>
      <c r="AD594" t="n">
        <v>2</v>
      </c>
      <c r="AE594" t="n">
        <v>2</v>
      </c>
      <c r="AF594" t="n">
        <v>9</v>
      </c>
      <c r="AG594" t="n">
        <v>9</v>
      </c>
      <c r="AH594" t="n">
        <v>2</v>
      </c>
      <c r="AI594" t="n">
        <v>2</v>
      </c>
      <c r="AJ594" t="n">
        <v>3</v>
      </c>
      <c r="AK594" t="n">
        <v>3</v>
      </c>
      <c r="AL594" t="n">
        <v>5</v>
      </c>
      <c r="AM594" t="n">
        <v>5</v>
      </c>
      <c r="AN594" t="n">
        <v>1</v>
      </c>
      <c r="AO594" t="n">
        <v>1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HYPERLINK("http://catalog.hathitrust.org/Record/102377364","HathiTrust Record")</f>
        <v/>
      </c>
      <c r="AU594">
        <f>HYPERLINK("https://creighton-primo.hosted.exlibrisgroup.com/primo-explore/search?tab=default_tab&amp;search_scope=EVERYTHING&amp;vid=01CRU&amp;lang=en_US&amp;offset=0&amp;query=any,contains,991005283549702656","Catalog Record")</f>
        <v/>
      </c>
      <c r="AV594">
        <f>HYPERLINK("http://www.worldcat.org/oclc/29944243","WorldCat Record")</f>
        <v/>
      </c>
      <c r="AW594" t="inlineStr">
        <is>
          <t>32496359:eng</t>
        </is>
      </c>
      <c r="AX594" t="inlineStr">
        <is>
          <t>29944243</t>
        </is>
      </c>
      <c r="AY594" t="inlineStr">
        <is>
          <t>991005283549702656</t>
        </is>
      </c>
      <c r="AZ594" t="inlineStr">
        <is>
          <t>991005283549702656</t>
        </is>
      </c>
      <c r="BA594" t="inlineStr">
        <is>
          <t>2261071570002656</t>
        </is>
      </c>
      <c r="BB594" t="inlineStr">
        <is>
          <t>BOOK</t>
        </is>
      </c>
      <c r="BD594" t="inlineStr">
        <is>
          <t>9780131568112</t>
        </is>
      </c>
      <c r="BE594" t="inlineStr">
        <is>
          <t>32285005472609</t>
        </is>
      </c>
      <c r="BF594" t="inlineStr">
        <is>
          <t>893443698</t>
        </is>
      </c>
    </row>
    <row r="595">
      <c r="A595" t="inlineStr">
        <is>
          <t>No</t>
        </is>
      </c>
      <c r="B595" t="inlineStr">
        <is>
          <t>CURAL</t>
        </is>
      </c>
      <c r="C595" t="inlineStr">
        <is>
          <t>SHELVES</t>
        </is>
      </c>
      <c r="D595" t="inlineStr">
        <is>
          <t>BL80.2 .W67 l985</t>
        </is>
      </c>
      <c r="E595" t="inlineStr">
        <is>
          <t>0                      BL 0080200W  67                                                      l985</t>
        </is>
      </c>
      <c r="F595" t="inlineStr">
        <is>
          <t>World religions : from ancient history to the present / editor, Geoffrey Parrinder.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New York, N.Y. : Facts on File, 1985, c1971.</t>
        </is>
      </c>
      <c r="O595" t="inlineStr">
        <is>
          <t>1985</t>
        </is>
      </c>
      <c r="P595" t="inlineStr">
        <is>
          <t>1st pbk. ed.</t>
        </is>
      </c>
      <c r="Q595" t="inlineStr">
        <is>
          <t>eng</t>
        </is>
      </c>
      <c r="R595" t="inlineStr">
        <is>
          <t>nyu</t>
        </is>
      </c>
      <c r="T595" t="inlineStr">
        <is>
          <t xml:space="preserve">BL </t>
        </is>
      </c>
      <c r="U595" t="n">
        <v>1</v>
      </c>
      <c r="V595" t="n">
        <v>1</v>
      </c>
      <c r="W595" t="inlineStr">
        <is>
          <t>2008-06-09</t>
        </is>
      </c>
      <c r="X595" t="inlineStr">
        <is>
          <t>2008-06-09</t>
        </is>
      </c>
      <c r="Y595" t="inlineStr">
        <is>
          <t>2008-06-09</t>
        </is>
      </c>
      <c r="Z595" t="inlineStr">
        <is>
          <t>2008-06-09</t>
        </is>
      </c>
      <c r="AA595" t="n">
        <v>221</v>
      </c>
      <c r="AB595" t="n">
        <v>199</v>
      </c>
      <c r="AC595" t="n">
        <v>1667</v>
      </c>
      <c r="AD595" t="n">
        <v>1</v>
      </c>
      <c r="AE595" t="n">
        <v>10</v>
      </c>
      <c r="AF595" t="n">
        <v>3</v>
      </c>
      <c r="AG595" t="n">
        <v>28</v>
      </c>
      <c r="AH595" t="n">
        <v>0</v>
      </c>
      <c r="AI595" t="n">
        <v>10</v>
      </c>
      <c r="AJ595" t="n">
        <v>0</v>
      </c>
      <c r="AK595" t="n">
        <v>6</v>
      </c>
      <c r="AL595" t="n">
        <v>3</v>
      </c>
      <c r="AM595" t="n">
        <v>15</v>
      </c>
      <c r="AN595" t="n">
        <v>0</v>
      </c>
      <c r="AO595" t="n">
        <v>4</v>
      </c>
      <c r="AP595" t="n">
        <v>0</v>
      </c>
      <c r="AQ595" t="n">
        <v>0</v>
      </c>
      <c r="AR595" t="inlineStr">
        <is>
          <t>No</t>
        </is>
      </c>
      <c r="AS595" t="inlineStr">
        <is>
          <t>No</t>
        </is>
      </c>
      <c r="AU595">
        <f>HYPERLINK("https://creighton-primo.hosted.exlibrisgroup.com/primo-explore/search?tab=default_tab&amp;search_scope=EVERYTHING&amp;vid=01CRU&amp;lang=en_US&amp;offset=0&amp;query=any,contains,991005230839702656","Catalog Record")</f>
        <v/>
      </c>
      <c r="AV595">
        <f>HYPERLINK("http://www.worldcat.org/oclc/14233334","WorldCat Record")</f>
        <v/>
      </c>
      <c r="AW595" t="inlineStr">
        <is>
          <t>3855381122:eng</t>
        </is>
      </c>
      <c r="AX595" t="inlineStr">
        <is>
          <t>14233334</t>
        </is>
      </c>
      <c r="AY595" t="inlineStr">
        <is>
          <t>991005230839702656</t>
        </is>
      </c>
      <c r="AZ595" t="inlineStr">
        <is>
          <t>991005230839702656</t>
        </is>
      </c>
      <c r="BA595" t="inlineStr">
        <is>
          <t>2271034490002656</t>
        </is>
      </c>
      <c r="BB595" t="inlineStr">
        <is>
          <t>BOOK</t>
        </is>
      </c>
      <c r="BD595" t="inlineStr">
        <is>
          <t>9780816012893</t>
        </is>
      </c>
      <c r="BE595" t="inlineStr">
        <is>
          <t>32285005443659</t>
        </is>
      </c>
      <c r="BF595" t="inlineStr">
        <is>
          <t>893326423</t>
        </is>
      </c>
    </row>
    <row r="596">
      <c r="A596" t="inlineStr">
        <is>
          <t>No</t>
        </is>
      </c>
      <c r="B596" t="inlineStr">
        <is>
          <t>CURAL</t>
        </is>
      </c>
      <c r="C596" t="inlineStr">
        <is>
          <t>SHELVES</t>
        </is>
      </c>
      <c r="D596" t="inlineStr">
        <is>
          <t>BL802 .F45 1970</t>
        </is>
      </c>
      <c r="E596" t="inlineStr">
        <is>
          <t>0                      BL 0802000F  45          1970</t>
        </is>
      </c>
      <c r="F596" t="inlineStr">
        <is>
          <t>The religions of the Roman Empire / John Ferguson.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Ferguson, John, 1921-1989.</t>
        </is>
      </c>
      <c r="N596" t="inlineStr">
        <is>
          <t>Ithaca, N.Y., Cornell University Press [1970]</t>
        </is>
      </c>
      <c r="O596" t="inlineStr">
        <is>
          <t>1970</t>
        </is>
      </c>
      <c r="Q596" t="inlineStr">
        <is>
          <t>eng</t>
        </is>
      </c>
      <c r="R596" t="inlineStr">
        <is>
          <t>nyu</t>
        </is>
      </c>
      <c r="S596" t="inlineStr">
        <is>
          <t>Aspects of Greek and Roman life</t>
        </is>
      </c>
      <c r="T596" t="inlineStr">
        <is>
          <t xml:space="preserve">BL </t>
        </is>
      </c>
      <c r="U596" t="n">
        <v>11</v>
      </c>
      <c r="V596" t="n">
        <v>11</v>
      </c>
      <c r="W596" t="inlineStr">
        <is>
          <t>2010-04-19</t>
        </is>
      </c>
      <c r="X596" t="inlineStr">
        <is>
          <t>2010-04-19</t>
        </is>
      </c>
      <c r="Y596" t="inlineStr">
        <is>
          <t>1990-10-15</t>
        </is>
      </c>
      <c r="Z596" t="inlineStr">
        <is>
          <t>1990-10-15</t>
        </is>
      </c>
      <c r="AA596" t="n">
        <v>1193</v>
      </c>
      <c r="AB596" t="n">
        <v>1108</v>
      </c>
      <c r="AC596" t="n">
        <v>1205</v>
      </c>
      <c r="AD596" t="n">
        <v>8</v>
      </c>
      <c r="AE596" t="n">
        <v>8</v>
      </c>
      <c r="AF596" t="n">
        <v>52</v>
      </c>
      <c r="AG596" t="n">
        <v>53</v>
      </c>
      <c r="AH596" t="n">
        <v>23</v>
      </c>
      <c r="AI596" t="n">
        <v>23</v>
      </c>
      <c r="AJ596" t="n">
        <v>9</v>
      </c>
      <c r="AK596" t="n">
        <v>10</v>
      </c>
      <c r="AL596" t="n">
        <v>25</v>
      </c>
      <c r="AM596" t="n">
        <v>26</v>
      </c>
      <c r="AN596" t="n">
        <v>7</v>
      </c>
      <c r="AO596" t="n">
        <v>7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HYPERLINK("http://catalog.hathitrust.org/Record/001922546","HathiTrust Record")</f>
        <v/>
      </c>
      <c r="AU596">
        <f>HYPERLINK("https://creighton-primo.hosted.exlibrisgroup.com/primo-explore/search?tab=default_tab&amp;search_scope=EVERYTHING&amp;vid=01CRU&amp;lang=en_US&amp;offset=0&amp;query=any,contains,991000578359702656","Catalog Record")</f>
        <v/>
      </c>
      <c r="AV596">
        <f>HYPERLINK("http://www.worldcat.org/oclc/95297","WorldCat Record")</f>
        <v/>
      </c>
      <c r="AW596" t="inlineStr">
        <is>
          <t>181064:eng</t>
        </is>
      </c>
      <c r="AX596" t="inlineStr">
        <is>
          <t>95297</t>
        </is>
      </c>
      <c r="AY596" t="inlineStr">
        <is>
          <t>991000578359702656</t>
        </is>
      </c>
      <c r="AZ596" t="inlineStr">
        <is>
          <t>991000578359702656</t>
        </is>
      </c>
      <c r="BA596" t="inlineStr">
        <is>
          <t>2272660720002656</t>
        </is>
      </c>
      <c r="BB596" t="inlineStr">
        <is>
          <t>BOOK</t>
        </is>
      </c>
      <c r="BD596" t="inlineStr">
        <is>
          <t>9780801405679</t>
        </is>
      </c>
      <c r="BE596" t="inlineStr">
        <is>
          <t>32285000348424</t>
        </is>
      </c>
      <c r="BF596" t="inlineStr">
        <is>
          <t>893502596</t>
        </is>
      </c>
    </row>
    <row r="597">
      <c r="A597" t="inlineStr">
        <is>
          <t>No</t>
        </is>
      </c>
      <c r="B597" t="inlineStr">
        <is>
          <t>CURAL</t>
        </is>
      </c>
      <c r="C597" t="inlineStr">
        <is>
          <t>SHELVES</t>
        </is>
      </c>
      <c r="D597" t="inlineStr">
        <is>
          <t>BL805 .C8 1956</t>
        </is>
      </c>
      <c r="E597" t="inlineStr">
        <is>
          <t>0                      BL 0805000C  8           1956</t>
        </is>
      </c>
      <c r="F597" t="inlineStr">
        <is>
          <t>The Oriental religions in Roman paganism / with an introductory essay by Grant Showerman. Authorized translation.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No</t>
        </is>
      </c>
      <c r="L597" t="inlineStr">
        <is>
          <t>0</t>
        </is>
      </c>
      <c r="M597" t="inlineStr">
        <is>
          <t>Cumont, Franz, 1868-1947.</t>
        </is>
      </c>
      <c r="N597" t="inlineStr">
        <is>
          <t>New York, Dover Publications [1956]</t>
        </is>
      </c>
      <c r="O597" t="inlineStr">
        <is>
          <t>1956</t>
        </is>
      </c>
      <c r="Q597" t="inlineStr">
        <is>
          <t>eng</t>
        </is>
      </c>
      <c r="R597" t="inlineStr">
        <is>
          <t>nyu</t>
        </is>
      </c>
      <c r="T597" t="inlineStr">
        <is>
          <t xml:space="preserve">BL </t>
        </is>
      </c>
      <c r="U597" t="n">
        <v>3</v>
      </c>
      <c r="V597" t="n">
        <v>3</v>
      </c>
      <c r="W597" t="inlineStr">
        <is>
          <t>2002-12-23</t>
        </is>
      </c>
      <c r="X597" t="inlineStr">
        <is>
          <t>2002-12-23</t>
        </is>
      </c>
      <c r="Y597" t="inlineStr">
        <is>
          <t>1990-10-15</t>
        </is>
      </c>
      <c r="Z597" t="inlineStr">
        <is>
          <t>1990-10-15</t>
        </is>
      </c>
      <c r="AA597" t="n">
        <v>947</v>
      </c>
      <c r="AB597" t="n">
        <v>793</v>
      </c>
      <c r="AC597" t="n">
        <v>1037</v>
      </c>
      <c r="AD597" t="n">
        <v>5</v>
      </c>
      <c r="AE597" t="n">
        <v>8</v>
      </c>
      <c r="AF597" t="n">
        <v>37</v>
      </c>
      <c r="AG597" t="n">
        <v>48</v>
      </c>
      <c r="AH597" t="n">
        <v>16</v>
      </c>
      <c r="AI597" t="n">
        <v>21</v>
      </c>
      <c r="AJ597" t="n">
        <v>8</v>
      </c>
      <c r="AK597" t="n">
        <v>11</v>
      </c>
      <c r="AL597" t="n">
        <v>21</v>
      </c>
      <c r="AM597" t="n">
        <v>23</v>
      </c>
      <c r="AN597" t="n">
        <v>3</v>
      </c>
      <c r="AO597" t="n">
        <v>6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HYPERLINK("http://catalog.hathitrust.org/Record/001397260","HathiTrust Record")</f>
        <v/>
      </c>
      <c r="AU597">
        <f>HYPERLINK("https://creighton-primo.hosted.exlibrisgroup.com/primo-explore/search?tab=default_tab&amp;search_scope=EVERYTHING&amp;vid=01CRU&amp;lang=en_US&amp;offset=0&amp;query=any,contains,991002613999702656","Catalog Record")</f>
        <v/>
      </c>
      <c r="AV597">
        <f>HYPERLINK("http://www.worldcat.org/oclc/378879","WorldCat Record")</f>
        <v/>
      </c>
      <c r="AW597" t="inlineStr">
        <is>
          <t>675071:eng</t>
        </is>
      </c>
      <c r="AX597" t="inlineStr">
        <is>
          <t>378879</t>
        </is>
      </c>
      <c r="AY597" t="inlineStr">
        <is>
          <t>991002613999702656</t>
        </is>
      </c>
      <c r="AZ597" t="inlineStr">
        <is>
          <t>991002613999702656</t>
        </is>
      </c>
      <c r="BA597" t="inlineStr">
        <is>
          <t>2264323480002656</t>
        </is>
      </c>
      <c r="BB597" t="inlineStr">
        <is>
          <t>BOOK</t>
        </is>
      </c>
      <c r="BE597" t="inlineStr">
        <is>
          <t>32285000348515</t>
        </is>
      </c>
      <c r="BF597" t="inlineStr">
        <is>
          <t>893603788</t>
        </is>
      </c>
    </row>
    <row r="598">
      <c r="A598" t="inlineStr">
        <is>
          <t>No</t>
        </is>
      </c>
      <c r="B598" t="inlineStr">
        <is>
          <t>CURAL</t>
        </is>
      </c>
      <c r="C598" t="inlineStr">
        <is>
          <t>SHELVES</t>
        </is>
      </c>
      <c r="D598" t="inlineStr">
        <is>
          <t>BL805 .G7</t>
        </is>
      </c>
      <c r="E598" t="inlineStr">
        <is>
          <t>0                      BL 0805000G  7</t>
        </is>
      </c>
      <c r="F598" t="inlineStr">
        <is>
          <t>The sword and the cross.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M598" t="inlineStr">
        <is>
          <t>Grant, Robert M. (Robert McQueen), 1917-2014.</t>
        </is>
      </c>
      <c r="N598" t="inlineStr">
        <is>
          <t>New York, Macmillan, 1955.</t>
        </is>
      </c>
      <c r="O598" t="inlineStr">
        <is>
          <t>1955</t>
        </is>
      </c>
      <c r="Q598" t="inlineStr">
        <is>
          <t>eng</t>
        </is>
      </c>
      <c r="R598" t="inlineStr">
        <is>
          <t>___</t>
        </is>
      </c>
      <c r="T598" t="inlineStr">
        <is>
          <t xml:space="preserve">BL </t>
        </is>
      </c>
      <c r="U598" t="n">
        <v>5</v>
      </c>
      <c r="V598" t="n">
        <v>5</v>
      </c>
      <c r="W598" t="inlineStr">
        <is>
          <t>2005-09-21</t>
        </is>
      </c>
      <c r="X598" t="inlineStr">
        <is>
          <t>2005-09-21</t>
        </is>
      </c>
      <c r="Y598" t="inlineStr">
        <is>
          <t>1990-10-15</t>
        </is>
      </c>
      <c r="Z598" t="inlineStr">
        <is>
          <t>1990-10-15</t>
        </is>
      </c>
      <c r="AA598" t="n">
        <v>492</v>
      </c>
      <c r="AB598" t="n">
        <v>445</v>
      </c>
      <c r="AC598" t="n">
        <v>449</v>
      </c>
      <c r="AD598" t="n">
        <v>5</v>
      </c>
      <c r="AE598" t="n">
        <v>5</v>
      </c>
      <c r="AF598" t="n">
        <v>20</v>
      </c>
      <c r="AG598" t="n">
        <v>20</v>
      </c>
      <c r="AH598" t="n">
        <v>9</v>
      </c>
      <c r="AI598" t="n">
        <v>9</v>
      </c>
      <c r="AJ598" t="n">
        <v>3</v>
      </c>
      <c r="AK598" t="n">
        <v>3</v>
      </c>
      <c r="AL598" t="n">
        <v>7</v>
      </c>
      <c r="AM598" t="n">
        <v>7</v>
      </c>
      <c r="AN598" t="n">
        <v>3</v>
      </c>
      <c r="AO598" t="n">
        <v>3</v>
      </c>
      <c r="AP598" t="n">
        <v>0</v>
      </c>
      <c r="AQ598" t="n">
        <v>0</v>
      </c>
      <c r="AR598" t="inlineStr">
        <is>
          <t>No</t>
        </is>
      </c>
      <c r="AS598" t="inlineStr">
        <is>
          <t>Yes</t>
        </is>
      </c>
      <c r="AT598">
        <f>HYPERLINK("http://catalog.hathitrust.org/Record/001392600","HathiTrust Record")</f>
        <v/>
      </c>
      <c r="AU598">
        <f>HYPERLINK("https://creighton-primo.hosted.exlibrisgroup.com/primo-explore/search?tab=default_tab&amp;search_scope=EVERYTHING&amp;vid=01CRU&amp;lang=en_US&amp;offset=0&amp;query=any,contains,991003685009702656","Catalog Record")</f>
        <v/>
      </c>
      <c r="AV598">
        <f>HYPERLINK("http://www.worldcat.org/oclc/1313074","WorldCat Record")</f>
        <v/>
      </c>
      <c r="AW598" t="inlineStr">
        <is>
          <t>3901076460:eng</t>
        </is>
      </c>
      <c r="AX598" t="inlineStr">
        <is>
          <t>1313074</t>
        </is>
      </c>
      <c r="AY598" t="inlineStr">
        <is>
          <t>991003685009702656</t>
        </is>
      </c>
      <c r="AZ598" t="inlineStr">
        <is>
          <t>991003685009702656</t>
        </is>
      </c>
      <c r="BA598" t="inlineStr">
        <is>
          <t>2257490060002656</t>
        </is>
      </c>
      <c r="BB598" t="inlineStr">
        <is>
          <t>BOOK</t>
        </is>
      </c>
      <c r="BE598" t="inlineStr">
        <is>
          <t>32285000348549</t>
        </is>
      </c>
      <c r="BF598" t="inlineStr">
        <is>
          <t>893868713</t>
        </is>
      </c>
    </row>
    <row r="599">
      <c r="A599" t="inlineStr">
        <is>
          <t>No</t>
        </is>
      </c>
      <c r="B599" t="inlineStr">
        <is>
          <t>CURAL</t>
        </is>
      </c>
      <c r="C599" t="inlineStr">
        <is>
          <t>SHELVES</t>
        </is>
      </c>
      <c r="D599" t="inlineStr">
        <is>
          <t>BL810 .C38</t>
        </is>
      </c>
      <c r="E599" t="inlineStr">
        <is>
          <t>0                      BL 0810000C  38</t>
        </is>
      </c>
      <c r="F599" t="inlineStr">
        <is>
          <t>The Catacombs and the Colosseum; the Roman Empire as the setting of primitive Christianity / [edited by] Stephen Benko [and] John J. O'Rourke.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N599" t="inlineStr">
        <is>
          <t>Valley Forge, Judson Press [1971]</t>
        </is>
      </c>
      <c r="O599" t="inlineStr">
        <is>
          <t>1971</t>
        </is>
      </c>
      <c r="Q599" t="inlineStr">
        <is>
          <t>eng</t>
        </is>
      </c>
      <c r="R599" t="inlineStr">
        <is>
          <t>pau</t>
        </is>
      </c>
      <c r="T599" t="inlineStr">
        <is>
          <t xml:space="preserve">BL </t>
        </is>
      </c>
      <c r="U599" t="n">
        <v>7</v>
      </c>
      <c r="V599" t="n">
        <v>7</v>
      </c>
      <c r="W599" t="inlineStr">
        <is>
          <t>2009-02-02</t>
        </is>
      </c>
      <c r="X599" t="inlineStr">
        <is>
          <t>2009-02-02</t>
        </is>
      </c>
      <c r="Y599" t="inlineStr">
        <is>
          <t>1990-10-15</t>
        </is>
      </c>
      <c r="Z599" t="inlineStr">
        <is>
          <t>1990-10-15</t>
        </is>
      </c>
      <c r="AA599" t="n">
        <v>477</v>
      </c>
      <c r="AB599" t="n">
        <v>417</v>
      </c>
      <c r="AC599" t="n">
        <v>419</v>
      </c>
      <c r="AD599" t="n">
        <v>4</v>
      </c>
      <c r="AE599" t="n">
        <v>4</v>
      </c>
      <c r="AF599" t="n">
        <v>25</v>
      </c>
      <c r="AG599" t="n">
        <v>25</v>
      </c>
      <c r="AH599" t="n">
        <v>11</v>
      </c>
      <c r="AI599" t="n">
        <v>11</v>
      </c>
      <c r="AJ599" t="n">
        <v>5</v>
      </c>
      <c r="AK599" t="n">
        <v>5</v>
      </c>
      <c r="AL599" t="n">
        <v>13</v>
      </c>
      <c r="AM599" t="n">
        <v>13</v>
      </c>
      <c r="AN599" t="n">
        <v>3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Yes</t>
        </is>
      </c>
      <c r="AT599">
        <f>HYPERLINK("http://catalog.hathitrust.org/Record/007326137","HathiTrust Record")</f>
        <v/>
      </c>
      <c r="AU599">
        <f>HYPERLINK("https://creighton-primo.hosted.exlibrisgroup.com/primo-explore/search?tab=default_tab&amp;search_scope=EVERYTHING&amp;vid=01CRU&amp;lang=en_US&amp;offset=0&amp;query=any,contains,991000804679702656","Catalog Record")</f>
        <v/>
      </c>
      <c r="AV599">
        <f>HYPERLINK("http://www.worldcat.org/oclc/140233","WorldCat Record")</f>
        <v/>
      </c>
      <c r="AW599" t="inlineStr">
        <is>
          <t>889941374:eng</t>
        </is>
      </c>
      <c r="AX599" t="inlineStr">
        <is>
          <t>140233</t>
        </is>
      </c>
      <c r="AY599" t="inlineStr">
        <is>
          <t>991000804679702656</t>
        </is>
      </c>
      <c r="AZ599" t="inlineStr">
        <is>
          <t>991000804679702656</t>
        </is>
      </c>
      <c r="BA599" t="inlineStr">
        <is>
          <t>2255462690002656</t>
        </is>
      </c>
      <c r="BB599" t="inlineStr">
        <is>
          <t>BOOK</t>
        </is>
      </c>
      <c r="BD599" t="inlineStr">
        <is>
          <t>9780817004552</t>
        </is>
      </c>
      <c r="BE599" t="inlineStr">
        <is>
          <t>32285000348572</t>
        </is>
      </c>
      <c r="BF599" t="inlineStr">
        <is>
          <t>893496569</t>
        </is>
      </c>
    </row>
    <row r="600">
      <c r="A600" t="inlineStr">
        <is>
          <t>No</t>
        </is>
      </c>
      <c r="B600" t="inlineStr">
        <is>
          <t>CURAL</t>
        </is>
      </c>
      <c r="C600" t="inlineStr">
        <is>
          <t>SHELVES</t>
        </is>
      </c>
      <c r="D600" t="inlineStr">
        <is>
          <t>BL815.F8 C9</t>
        </is>
      </c>
      <c r="E600" t="inlineStr">
        <is>
          <t>0                      BL 0815000F  8                  C  9</t>
        </is>
      </c>
      <c r="F600" t="inlineStr">
        <is>
          <t>After life in Roman paganism; lectures delivered at Yale University on the Silliman foundation / by Franz Cumont.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Cumont, Franz, 1868-1947.</t>
        </is>
      </c>
      <c r="N600" t="inlineStr">
        <is>
          <t>New Haven, Yale University Press; [etc., etc.] 1922.</t>
        </is>
      </c>
      <c r="O600" t="inlineStr">
        <is>
          <t>1922</t>
        </is>
      </c>
      <c r="Q600" t="inlineStr">
        <is>
          <t>eng</t>
        </is>
      </c>
      <c r="R600" t="inlineStr">
        <is>
          <t>ctu</t>
        </is>
      </c>
      <c r="S600" t="inlineStr">
        <is>
          <t>Yale university. Mrs. Hepsa Ely Silliman memorial lectures</t>
        </is>
      </c>
      <c r="T600" t="inlineStr">
        <is>
          <t xml:space="preserve">BL </t>
        </is>
      </c>
      <c r="U600" t="n">
        <v>3</v>
      </c>
      <c r="V600" t="n">
        <v>3</v>
      </c>
      <c r="W600" t="inlineStr">
        <is>
          <t>2003-02-28</t>
        </is>
      </c>
      <c r="X600" t="inlineStr">
        <is>
          <t>2003-02-28</t>
        </is>
      </c>
      <c r="Y600" t="inlineStr">
        <is>
          <t>1990-10-15</t>
        </is>
      </c>
      <c r="Z600" t="inlineStr">
        <is>
          <t>1990-10-15</t>
        </is>
      </c>
      <c r="AA600" t="n">
        <v>423</v>
      </c>
      <c r="AB600" t="n">
        <v>348</v>
      </c>
      <c r="AC600" t="n">
        <v>742</v>
      </c>
      <c r="AD600" t="n">
        <v>3</v>
      </c>
      <c r="AE600" t="n">
        <v>7</v>
      </c>
      <c r="AF600" t="n">
        <v>21</v>
      </c>
      <c r="AG600" t="n">
        <v>37</v>
      </c>
      <c r="AH600" t="n">
        <v>9</v>
      </c>
      <c r="AI600" t="n">
        <v>14</v>
      </c>
      <c r="AJ600" t="n">
        <v>2</v>
      </c>
      <c r="AK600" t="n">
        <v>7</v>
      </c>
      <c r="AL600" t="n">
        <v>12</v>
      </c>
      <c r="AM600" t="n">
        <v>20</v>
      </c>
      <c r="AN600" t="n">
        <v>2</v>
      </c>
      <c r="AO600" t="n">
        <v>3</v>
      </c>
      <c r="AP600" t="n">
        <v>0</v>
      </c>
      <c r="AQ600" t="n">
        <v>0</v>
      </c>
      <c r="AR600" t="inlineStr">
        <is>
          <t>Yes</t>
        </is>
      </c>
      <c r="AS600" t="inlineStr">
        <is>
          <t>No</t>
        </is>
      </c>
      <c r="AT600">
        <f>HYPERLINK("http://catalog.hathitrust.org/Record/001392614","HathiTrust Record")</f>
        <v/>
      </c>
      <c r="AU600">
        <f>HYPERLINK("https://creighton-primo.hosted.exlibrisgroup.com/primo-explore/search?tab=default_tab&amp;search_scope=EVERYTHING&amp;vid=01CRU&amp;lang=en_US&amp;offset=0&amp;query=any,contains,991001931749702656","Catalog Record")</f>
        <v/>
      </c>
      <c r="AV600">
        <f>HYPERLINK("http://www.worldcat.org/oclc/249110","WorldCat Record")</f>
        <v/>
      </c>
      <c r="AW600" t="inlineStr">
        <is>
          <t>829225:eng</t>
        </is>
      </c>
      <c r="AX600" t="inlineStr">
        <is>
          <t>249110</t>
        </is>
      </c>
      <c r="AY600" t="inlineStr">
        <is>
          <t>991001931749702656</t>
        </is>
      </c>
      <c r="AZ600" t="inlineStr">
        <is>
          <t>991001931749702656</t>
        </is>
      </c>
      <c r="BA600" t="inlineStr">
        <is>
          <t>2256127670002656</t>
        </is>
      </c>
      <c r="BB600" t="inlineStr">
        <is>
          <t>BOOK</t>
        </is>
      </c>
      <c r="BE600" t="inlineStr">
        <is>
          <t>32285000348580</t>
        </is>
      </c>
      <c r="BF600" t="inlineStr">
        <is>
          <t>893322374</t>
        </is>
      </c>
    </row>
    <row r="601">
      <c r="A601" t="inlineStr">
        <is>
          <t>No</t>
        </is>
      </c>
      <c r="B601" t="inlineStr">
        <is>
          <t>CURAL</t>
        </is>
      </c>
      <c r="C601" t="inlineStr">
        <is>
          <t>SHELVES</t>
        </is>
      </c>
      <c r="D601" t="inlineStr">
        <is>
          <t>BL815.S8 H3</t>
        </is>
      </c>
      <c r="E601" t="inlineStr">
        <is>
          <t>0                      BL 0815000S  8                  H  3</t>
        </is>
      </c>
      <c r="F601" t="inlineStr">
        <is>
          <t>The cult of Sol Invictus / [by] Gaston H. Halsberghe.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Halsberghe, Gaston H., 1916-</t>
        </is>
      </c>
      <c r="N601" t="inlineStr">
        <is>
          <t>Leiden, Brill, 1972.</t>
        </is>
      </c>
      <c r="O601" t="inlineStr">
        <is>
          <t>1972</t>
        </is>
      </c>
      <c r="Q601" t="inlineStr">
        <is>
          <t>eng</t>
        </is>
      </c>
      <c r="R601" t="inlineStr">
        <is>
          <t xml:space="preserve">ne </t>
        </is>
      </c>
      <c r="S601" t="inlineStr">
        <is>
          <t>Etudes préliminaires aux religions orientales dans l'Empire romain ; t. 23</t>
        </is>
      </c>
      <c r="T601" t="inlineStr">
        <is>
          <t xml:space="preserve">BL </t>
        </is>
      </c>
      <c r="U601" t="n">
        <v>0</v>
      </c>
      <c r="V601" t="n">
        <v>0</v>
      </c>
      <c r="W601" t="inlineStr">
        <is>
          <t>2008-11-05</t>
        </is>
      </c>
      <c r="X601" t="inlineStr">
        <is>
          <t>2008-11-05</t>
        </is>
      </c>
      <c r="Y601" t="inlineStr">
        <is>
          <t>1990-10-15</t>
        </is>
      </c>
      <c r="Z601" t="inlineStr">
        <is>
          <t>1990-10-15</t>
        </is>
      </c>
      <c r="AA601" t="n">
        <v>363</v>
      </c>
      <c r="AB601" t="n">
        <v>256</v>
      </c>
      <c r="AC601" t="n">
        <v>258</v>
      </c>
      <c r="AD601" t="n">
        <v>2</v>
      </c>
      <c r="AE601" t="n">
        <v>2</v>
      </c>
      <c r="AF601" t="n">
        <v>12</v>
      </c>
      <c r="AG601" t="n">
        <v>12</v>
      </c>
      <c r="AH601" t="n">
        <v>3</v>
      </c>
      <c r="AI601" t="n">
        <v>3</v>
      </c>
      <c r="AJ601" t="n">
        <v>3</v>
      </c>
      <c r="AK601" t="n">
        <v>3</v>
      </c>
      <c r="AL601" t="n">
        <v>8</v>
      </c>
      <c r="AM601" t="n">
        <v>8</v>
      </c>
      <c r="AN601" t="n">
        <v>1</v>
      </c>
      <c r="AO601" t="n">
        <v>1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HYPERLINK("http://catalog.hathitrust.org/Record/001947188","HathiTrust Record")</f>
        <v/>
      </c>
      <c r="AU601">
        <f>HYPERLINK("https://creighton-primo.hosted.exlibrisgroup.com/primo-explore/search?tab=default_tab&amp;search_scope=EVERYTHING&amp;vid=01CRU&amp;lang=en_US&amp;offset=0&amp;query=any,contains,991002917609702656","Catalog Record")</f>
        <v/>
      </c>
      <c r="AV601">
        <f>HYPERLINK("http://www.worldcat.org/oclc/524878","WorldCat Record")</f>
        <v/>
      </c>
      <c r="AW601" t="inlineStr">
        <is>
          <t>9657349613:eng</t>
        </is>
      </c>
      <c r="AX601" t="inlineStr">
        <is>
          <t>524878</t>
        </is>
      </c>
      <c r="AY601" t="inlineStr">
        <is>
          <t>991002917609702656</t>
        </is>
      </c>
      <c r="AZ601" t="inlineStr">
        <is>
          <t>991002917609702656</t>
        </is>
      </c>
      <c r="BA601" t="inlineStr">
        <is>
          <t>2261171200002656</t>
        </is>
      </c>
      <c r="BB601" t="inlineStr">
        <is>
          <t>BOOK</t>
        </is>
      </c>
      <c r="BE601" t="inlineStr">
        <is>
          <t>32285000348614</t>
        </is>
      </c>
      <c r="BF601" t="inlineStr">
        <is>
          <t>893886901</t>
        </is>
      </c>
    </row>
    <row r="602">
      <c r="A602" t="inlineStr">
        <is>
          <t>No</t>
        </is>
      </c>
      <c r="B602" t="inlineStr">
        <is>
          <t>CURAL</t>
        </is>
      </c>
      <c r="C602" t="inlineStr">
        <is>
          <t>SHELVES</t>
        </is>
      </c>
      <c r="D602" t="inlineStr">
        <is>
          <t>BL815.T35 D8</t>
        </is>
      </c>
      <c r="E602" t="inlineStr">
        <is>
          <t>0                      BL 0815000T  35                 D  8</t>
        </is>
      </c>
      <c r="F602" t="inlineStr">
        <is>
          <t>The taurobolium. Its evolution and terminology.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No</t>
        </is>
      </c>
      <c r="L602" t="inlineStr">
        <is>
          <t>0</t>
        </is>
      </c>
      <c r="M602" t="inlineStr">
        <is>
          <t>Duthoy, Robert.</t>
        </is>
      </c>
      <c r="N602" t="inlineStr">
        <is>
          <t>Leiden, E. J. Brill, 1969.</t>
        </is>
      </c>
      <c r="O602" t="inlineStr">
        <is>
          <t>1969</t>
        </is>
      </c>
      <c r="Q602" t="inlineStr">
        <is>
          <t>eng</t>
        </is>
      </c>
      <c r="R602" t="inlineStr">
        <is>
          <t xml:space="preserve">ne </t>
        </is>
      </c>
      <c r="S602" t="inlineStr">
        <is>
          <t>Études préliminaires aux religious orientales dans l'empire romain, t. 10</t>
        </is>
      </c>
      <c r="T602" t="inlineStr">
        <is>
          <t xml:space="preserve">BL </t>
        </is>
      </c>
      <c r="U602" t="n">
        <v>1</v>
      </c>
      <c r="V602" t="n">
        <v>1</v>
      </c>
      <c r="W602" t="inlineStr">
        <is>
          <t>1995-03-17</t>
        </is>
      </c>
      <c r="X602" t="inlineStr">
        <is>
          <t>1995-03-17</t>
        </is>
      </c>
      <c r="Y602" t="inlineStr">
        <is>
          <t>1990-10-15</t>
        </is>
      </c>
      <c r="Z602" t="inlineStr">
        <is>
          <t>1990-10-15</t>
        </is>
      </c>
      <c r="AA602" t="n">
        <v>372</v>
      </c>
      <c r="AB602" t="n">
        <v>260</v>
      </c>
      <c r="AC602" t="n">
        <v>273</v>
      </c>
      <c r="AD602" t="n">
        <v>2</v>
      </c>
      <c r="AE602" t="n">
        <v>2</v>
      </c>
      <c r="AF602" t="n">
        <v>16</v>
      </c>
      <c r="AG602" t="n">
        <v>16</v>
      </c>
      <c r="AH602" t="n">
        <v>3</v>
      </c>
      <c r="AI602" t="n">
        <v>3</v>
      </c>
      <c r="AJ602" t="n">
        <v>5</v>
      </c>
      <c r="AK602" t="n">
        <v>5</v>
      </c>
      <c r="AL602" t="n">
        <v>12</v>
      </c>
      <c r="AM602" t="n">
        <v>12</v>
      </c>
      <c r="AN602" t="n">
        <v>1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HYPERLINK("http://catalog.hathitrust.org/Record/001947171","HathiTrust Record")</f>
        <v/>
      </c>
      <c r="AU602">
        <f>HYPERLINK("https://creighton-primo.hosted.exlibrisgroup.com/primo-explore/search?tab=default_tab&amp;search_scope=EVERYTHING&amp;vid=01CRU&amp;lang=en_US&amp;offset=0&amp;query=any,contains,991000089149702656","Catalog Record")</f>
        <v/>
      </c>
      <c r="AV602">
        <f>HYPERLINK("http://www.worldcat.org/oclc/35137","WorldCat Record")</f>
        <v/>
      </c>
      <c r="AW602" t="inlineStr">
        <is>
          <t>235315008:eng</t>
        </is>
      </c>
      <c r="AX602" t="inlineStr">
        <is>
          <t>35137</t>
        </is>
      </c>
      <c r="AY602" t="inlineStr">
        <is>
          <t>991000089149702656</t>
        </is>
      </c>
      <c r="AZ602" t="inlineStr">
        <is>
          <t>991000089149702656</t>
        </is>
      </c>
      <c r="BA602" t="inlineStr">
        <is>
          <t>2260378220002656</t>
        </is>
      </c>
      <c r="BB602" t="inlineStr">
        <is>
          <t>BOOK</t>
        </is>
      </c>
      <c r="BE602" t="inlineStr">
        <is>
          <t>32285000348622</t>
        </is>
      </c>
      <c r="BF602" t="inlineStr">
        <is>
          <t>893521387</t>
        </is>
      </c>
    </row>
    <row r="603">
      <c r="A603" t="inlineStr">
        <is>
          <t>No</t>
        </is>
      </c>
      <c r="B603" t="inlineStr">
        <is>
          <t>CURAL</t>
        </is>
      </c>
      <c r="C603" t="inlineStr">
        <is>
          <t>SHELVES</t>
        </is>
      </c>
      <c r="D603" t="inlineStr">
        <is>
          <t>BL820.A34 M33 1988</t>
        </is>
      </c>
      <c r="E603" t="inlineStr">
        <is>
          <t>0                      BL 0820000A  34                 M  33          1988</t>
        </is>
      </c>
      <c r="F603" t="inlineStr">
        <is>
          <t>The characterisation of Aeneas / by C.J. Mackie.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M603" t="inlineStr">
        <is>
          <t>Mackie, C. J.</t>
        </is>
      </c>
      <c r="N603" t="inlineStr">
        <is>
          <t>Edinburgh : Scottish Academic, 1988.</t>
        </is>
      </c>
      <c r="O603" t="inlineStr">
        <is>
          <t>1988</t>
        </is>
      </c>
      <c r="Q603" t="inlineStr">
        <is>
          <t>eng</t>
        </is>
      </c>
      <c r="R603" t="inlineStr">
        <is>
          <t>stk</t>
        </is>
      </c>
      <c r="S603" t="inlineStr">
        <is>
          <t>Scottish classical studies ; 4</t>
        </is>
      </c>
      <c r="T603" t="inlineStr">
        <is>
          <t xml:space="preserve">BL </t>
        </is>
      </c>
      <c r="U603" t="n">
        <v>1</v>
      </c>
      <c r="V603" t="n">
        <v>1</v>
      </c>
      <c r="W603" t="inlineStr">
        <is>
          <t>2007-11-10</t>
        </is>
      </c>
      <c r="X603" t="inlineStr">
        <is>
          <t>2007-11-10</t>
        </is>
      </c>
      <c r="Y603" t="inlineStr">
        <is>
          <t>1990-10-15</t>
        </is>
      </c>
      <c r="Z603" t="inlineStr">
        <is>
          <t>1990-10-15</t>
        </is>
      </c>
      <c r="AA603" t="n">
        <v>239</v>
      </c>
      <c r="AB603" t="n">
        <v>160</v>
      </c>
      <c r="AC603" t="n">
        <v>165</v>
      </c>
      <c r="AD603" t="n">
        <v>2</v>
      </c>
      <c r="AE603" t="n">
        <v>2</v>
      </c>
      <c r="AF603" t="n">
        <v>10</v>
      </c>
      <c r="AG603" t="n">
        <v>10</v>
      </c>
      <c r="AH603" t="n">
        <v>4</v>
      </c>
      <c r="AI603" t="n">
        <v>4</v>
      </c>
      <c r="AJ603" t="n">
        <v>3</v>
      </c>
      <c r="AK603" t="n">
        <v>3</v>
      </c>
      <c r="AL603" t="n">
        <v>8</v>
      </c>
      <c r="AM603" t="n">
        <v>8</v>
      </c>
      <c r="AN603" t="n">
        <v>1</v>
      </c>
      <c r="AO603" t="n">
        <v>1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HYPERLINK("http://catalog.hathitrust.org/Record/004372451","HathiTrust Record")</f>
        <v/>
      </c>
      <c r="AU603">
        <f>HYPERLINK("https://creighton-primo.hosted.exlibrisgroup.com/primo-explore/search?tab=default_tab&amp;search_scope=EVERYTHING&amp;vid=01CRU&amp;lang=en_US&amp;offset=0&amp;query=any,contains,991000946489702656","Catalog Record")</f>
        <v/>
      </c>
      <c r="AV603">
        <f>HYPERLINK("http://www.worldcat.org/oclc/14586441","WorldCat Record")</f>
        <v/>
      </c>
      <c r="AW603" t="inlineStr">
        <is>
          <t>9019015:eng</t>
        </is>
      </c>
      <c r="AX603" t="inlineStr">
        <is>
          <t>14586441</t>
        </is>
      </c>
      <c r="AY603" t="inlineStr">
        <is>
          <t>991000946489702656</t>
        </is>
      </c>
      <c r="AZ603" t="inlineStr">
        <is>
          <t>991000946489702656</t>
        </is>
      </c>
      <c r="BA603" t="inlineStr">
        <is>
          <t>2272381070002656</t>
        </is>
      </c>
      <c r="BB603" t="inlineStr">
        <is>
          <t>BOOK</t>
        </is>
      </c>
      <c r="BD603" t="inlineStr">
        <is>
          <t>9780707304908</t>
        </is>
      </c>
      <c r="BE603" t="inlineStr">
        <is>
          <t>32285000348648</t>
        </is>
      </c>
      <c r="BF603" t="inlineStr">
        <is>
          <t>893231560</t>
        </is>
      </c>
    </row>
    <row r="604">
      <c r="A604" t="inlineStr">
        <is>
          <t>No</t>
        </is>
      </c>
      <c r="B604" t="inlineStr">
        <is>
          <t>CURAL</t>
        </is>
      </c>
      <c r="C604" t="inlineStr">
        <is>
          <t>SHELVES</t>
        </is>
      </c>
      <c r="D604" t="inlineStr">
        <is>
          <t>BL820.B2 A45</t>
        </is>
      </c>
      <c r="E604" t="inlineStr">
        <is>
          <t>0                      BL 0820000B  2                  A  45</t>
        </is>
      </c>
      <c r="F604" t="inlineStr">
        <is>
          <t>Creation and salvation in ancient orphism / Larry J. Alderink.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Alderink, Larry J.</t>
        </is>
      </c>
      <c r="N604" t="inlineStr">
        <is>
          <t>[University Park, Pa.] : American Philological Association ; Chico, Calif. : Distributed by Scholars Press, c1981.</t>
        </is>
      </c>
      <c r="O604" t="inlineStr">
        <is>
          <t>1981</t>
        </is>
      </c>
      <c r="Q604" t="inlineStr">
        <is>
          <t>eng</t>
        </is>
      </c>
      <c r="R604" t="inlineStr">
        <is>
          <t>pau</t>
        </is>
      </c>
      <c r="S604" t="inlineStr">
        <is>
          <t>American classical studies ; no. 8</t>
        </is>
      </c>
      <c r="T604" t="inlineStr">
        <is>
          <t xml:space="preserve">BL </t>
        </is>
      </c>
      <c r="U604" t="n">
        <v>4</v>
      </c>
      <c r="V604" t="n">
        <v>4</v>
      </c>
      <c r="W604" t="inlineStr">
        <is>
          <t>1998-11-09</t>
        </is>
      </c>
      <c r="X604" t="inlineStr">
        <is>
          <t>1998-11-09</t>
        </is>
      </c>
      <c r="Y604" t="inlineStr">
        <is>
          <t>1990-10-15</t>
        </is>
      </c>
      <c r="Z604" t="inlineStr">
        <is>
          <t>1990-10-15</t>
        </is>
      </c>
      <c r="AA604" t="n">
        <v>305</v>
      </c>
      <c r="AB604" t="n">
        <v>214</v>
      </c>
      <c r="AC604" t="n">
        <v>215</v>
      </c>
      <c r="AD604" t="n">
        <v>2</v>
      </c>
      <c r="AE604" t="n">
        <v>2</v>
      </c>
      <c r="AF604" t="n">
        <v>11</v>
      </c>
      <c r="AG604" t="n">
        <v>11</v>
      </c>
      <c r="AH604" t="n">
        <v>3</v>
      </c>
      <c r="AI604" t="n">
        <v>3</v>
      </c>
      <c r="AJ604" t="n">
        <v>2</v>
      </c>
      <c r="AK604" t="n">
        <v>2</v>
      </c>
      <c r="AL604" t="n">
        <v>7</v>
      </c>
      <c r="AM604" t="n">
        <v>7</v>
      </c>
      <c r="AN604" t="n">
        <v>1</v>
      </c>
      <c r="AO604" t="n">
        <v>1</v>
      </c>
      <c r="AP604" t="n">
        <v>0</v>
      </c>
      <c r="AQ604" t="n">
        <v>0</v>
      </c>
      <c r="AR604" t="inlineStr">
        <is>
          <t>No</t>
        </is>
      </c>
      <c r="AS604" t="inlineStr">
        <is>
          <t>Yes</t>
        </is>
      </c>
      <c r="AT604">
        <f>HYPERLINK("http://catalog.hathitrust.org/Record/000107040","HathiTrust Record")</f>
        <v/>
      </c>
      <c r="AU604">
        <f>HYPERLINK("https://creighton-primo.hosted.exlibrisgroup.com/primo-explore/search?tab=default_tab&amp;search_scope=EVERYTHING&amp;vid=01CRU&amp;lang=en_US&amp;offset=0&amp;query=any,contains,991005123439702656","Catalog Record")</f>
        <v/>
      </c>
      <c r="AV604">
        <f>HYPERLINK("http://www.worldcat.org/oclc/7551078","WorldCat Record")</f>
        <v/>
      </c>
      <c r="AW604" t="inlineStr">
        <is>
          <t>548172:eng</t>
        </is>
      </c>
      <c r="AX604" t="inlineStr">
        <is>
          <t>7551078</t>
        </is>
      </c>
      <c r="AY604" t="inlineStr">
        <is>
          <t>991005123439702656</t>
        </is>
      </c>
      <c r="AZ604" t="inlineStr">
        <is>
          <t>991005123439702656</t>
        </is>
      </c>
      <c r="BA604" t="inlineStr">
        <is>
          <t>2268445820002656</t>
        </is>
      </c>
      <c r="BB604" t="inlineStr">
        <is>
          <t>BOOK</t>
        </is>
      </c>
      <c r="BD604" t="inlineStr">
        <is>
          <t>9780891305026</t>
        </is>
      </c>
      <c r="BE604" t="inlineStr">
        <is>
          <t>32285000348671</t>
        </is>
      </c>
      <c r="BF604" t="inlineStr">
        <is>
          <t>893520467</t>
        </is>
      </c>
    </row>
    <row r="605">
      <c r="A605" t="inlineStr">
        <is>
          <t>No</t>
        </is>
      </c>
      <c r="B605" t="inlineStr">
        <is>
          <t>CURAL</t>
        </is>
      </c>
      <c r="C605" t="inlineStr">
        <is>
          <t>SHELVES</t>
        </is>
      </c>
      <c r="D605" t="inlineStr">
        <is>
          <t>BL820.J6 S4</t>
        </is>
      </c>
      <c r="E605" t="inlineStr">
        <is>
          <t>0                      BL 0820000J  6                  S  4</t>
        </is>
      </c>
      <c r="F605" t="inlineStr">
        <is>
          <t>Juno : a study in early Roman religion / by Emily Ledyard Shields.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No</t>
        </is>
      </c>
      <c r="L605" t="inlineStr">
        <is>
          <t>0</t>
        </is>
      </c>
      <c r="M605" t="inlineStr">
        <is>
          <t>Shields, Emily Ledyard, 1883-1964.</t>
        </is>
      </c>
      <c r="O605" t="inlineStr">
        <is>
          <t>1926</t>
        </is>
      </c>
      <c r="Q605" t="inlineStr">
        <is>
          <t>eng</t>
        </is>
      </c>
      <c r="R605" t="inlineStr">
        <is>
          <t>mau</t>
        </is>
      </c>
      <c r="S605" t="inlineStr">
        <is>
          <t>Smith College classical studies ; no. 7</t>
        </is>
      </c>
      <c r="T605" t="inlineStr">
        <is>
          <t xml:space="preserve">BL </t>
        </is>
      </c>
      <c r="U605" t="n">
        <v>5</v>
      </c>
      <c r="V605" t="n">
        <v>5</v>
      </c>
      <c r="W605" t="inlineStr">
        <is>
          <t>2000-04-20</t>
        </is>
      </c>
      <c r="X605" t="inlineStr">
        <is>
          <t>2000-04-20</t>
        </is>
      </c>
      <c r="Y605" t="inlineStr">
        <is>
          <t>1990-10-15</t>
        </is>
      </c>
      <c r="Z605" t="inlineStr">
        <is>
          <t>1990-10-15</t>
        </is>
      </c>
      <c r="AA605" t="n">
        <v>101</v>
      </c>
      <c r="AB605" t="n">
        <v>79</v>
      </c>
      <c r="AC605" t="n">
        <v>86</v>
      </c>
      <c r="AD605" t="n">
        <v>2</v>
      </c>
      <c r="AE605" t="n">
        <v>2</v>
      </c>
      <c r="AF605" t="n">
        <v>5</v>
      </c>
      <c r="AG605" t="n">
        <v>5</v>
      </c>
      <c r="AH605" t="n">
        <v>0</v>
      </c>
      <c r="AI605" t="n">
        <v>0</v>
      </c>
      <c r="AJ605" t="n">
        <v>1</v>
      </c>
      <c r="AK605" t="n">
        <v>1</v>
      </c>
      <c r="AL605" t="n">
        <v>3</v>
      </c>
      <c r="AM605" t="n">
        <v>3</v>
      </c>
      <c r="AN605" t="n">
        <v>1</v>
      </c>
      <c r="AO605" t="n">
        <v>1</v>
      </c>
      <c r="AP605" t="n">
        <v>0</v>
      </c>
      <c r="AQ605" t="n">
        <v>0</v>
      </c>
      <c r="AR605" t="inlineStr">
        <is>
          <t>Yes</t>
        </is>
      </c>
      <c r="AS605" t="inlineStr">
        <is>
          <t>No</t>
        </is>
      </c>
      <c r="AT605">
        <f>HYPERLINK("http://catalog.hathitrust.org/Record/001675496","HathiTrust Record")</f>
        <v/>
      </c>
      <c r="AU605">
        <f>HYPERLINK("https://creighton-primo.hosted.exlibrisgroup.com/primo-explore/search?tab=default_tab&amp;search_scope=EVERYTHING&amp;vid=01CRU&amp;lang=en_US&amp;offset=0&amp;query=any,contains,991004435429702656","Catalog Record")</f>
        <v/>
      </c>
      <c r="AV605">
        <f>HYPERLINK("http://www.worldcat.org/oclc/3440735","WorldCat Record")</f>
        <v/>
      </c>
      <c r="AW605" t="inlineStr">
        <is>
          <t>376806459:eng</t>
        </is>
      </c>
      <c r="AX605" t="inlineStr">
        <is>
          <t>3440735</t>
        </is>
      </c>
      <c r="AY605" t="inlineStr">
        <is>
          <t>991004435429702656</t>
        </is>
      </c>
      <c r="AZ605" t="inlineStr">
        <is>
          <t>991004435429702656</t>
        </is>
      </c>
      <c r="BA605" t="inlineStr">
        <is>
          <t>2269682520002656</t>
        </is>
      </c>
      <c r="BB605" t="inlineStr">
        <is>
          <t>BOOK</t>
        </is>
      </c>
      <c r="BE605" t="inlineStr">
        <is>
          <t>32285000348762</t>
        </is>
      </c>
      <c r="BF605" t="inlineStr">
        <is>
          <t>893343832</t>
        </is>
      </c>
    </row>
    <row r="606">
      <c r="A606" t="inlineStr">
        <is>
          <t>No</t>
        </is>
      </c>
      <c r="B606" t="inlineStr">
        <is>
          <t>CURAL</t>
        </is>
      </c>
      <c r="C606" t="inlineStr">
        <is>
          <t>SHELVES</t>
        </is>
      </c>
      <c r="D606" t="inlineStr">
        <is>
          <t>BL820.M5 B7</t>
        </is>
      </c>
      <c r="E606" t="inlineStr">
        <is>
          <t>0                      BL 0820000M  5                  B  7</t>
        </is>
      </c>
      <c r="F606" t="inlineStr">
        <is>
          <t>Hermes the thief; the evolution of a myth / Norman O. Brown.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No</t>
        </is>
      </c>
      <c r="L606" t="inlineStr">
        <is>
          <t>0</t>
        </is>
      </c>
      <c r="M606" t="inlineStr">
        <is>
          <t>Brown, Norman Oliver, 1913-2002.</t>
        </is>
      </c>
      <c r="N606" t="inlineStr">
        <is>
          <t>[Madison] University of Wisconsin Press, 1947.</t>
        </is>
      </c>
      <c r="O606" t="inlineStr">
        <is>
          <t>1947</t>
        </is>
      </c>
      <c r="Q606" t="inlineStr">
        <is>
          <t>eng</t>
        </is>
      </c>
      <c r="R606" t="inlineStr">
        <is>
          <t>wiu</t>
        </is>
      </c>
      <c r="T606" t="inlineStr">
        <is>
          <t xml:space="preserve">BL </t>
        </is>
      </c>
      <c r="U606" t="n">
        <v>1</v>
      </c>
      <c r="V606" t="n">
        <v>1</v>
      </c>
      <c r="W606" t="inlineStr">
        <is>
          <t>2008-02-21</t>
        </is>
      </c>
      <c r="X606" t="inlineStr">
        <is>
          <t>2008-02-21</t>
        </is>
      </c>
      <c r="Y606" t="inlineStr">
        <is>
          <t>1990-10-15</t>
        </is>
      </c>
      <c r="Z606" t="inlineStr">
        <is>
          <t>1990-10-15</t>
        </is>
      </c>
      <c r="AA606" t="n">
        <v>217</v>
      </c>
      <c r="AB606" t="n">
        <v>194</v>
      </c>
      <c r="AC606" t="n">
        <v>414</v>
      </c>
      <c r="AD606" t="n">
        <v>2</v>
      </c>
      <c r="AE606" t="n">
        <v>3</v>
      </c>
      <c r="AF606" t="n">
        <v>10</v>
      </c>
      <c r="AG606" t="n">
        <v>22</v>
      </c>
      <c r="AH606" t="n">
        <v>1</v>
      </c>
      <c r="AI606" t="n">
        <v>7</v>
      </c>
      <c r="AJ606" t="n">
        <v>3</v>
      </c>
      <c r="AK606" t="n">
        <v>3</v>
      </c>
      <c r="AL606" t="n">
        <v>7</v>
      </c>
      <c r="AM606" t="n">
        <v>15</v>
      </c>
      <c r="AN606" t="n">
        <v>1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HYPERLINK("https://creighton-primo.hosted.exlibrisgroup.com/primo-explore/search?tab=default_tab&amp;search_scope=EVERYTHING&amp;vid=01CRU&amp;lang=en_US&amp;offset=0&amp;query=any,contains,991005030589702656","Catalog Record")</f>
        <v/>
      </c>
      <c r="AV606">
        <f>HYPERLINK("http://www.worldcat.org/oclc/6712130","WorldCat Record")</f>
        <v/>
      </c>
      <c r="AW606" t="inlineStr">
        <is>
          <t>197163749:eng</t>
        </is>
      </c>
      <c r="AX606" t="inlineStr">
        <is>
          <t>6712130</t>
        </is>
      </c>
      <c r="AY606" t="inlineStr">
        <is>
          <t>991005030589702656</t>
        </is>
      </c>
      <c r="AZ606" t="inlineStr">
        <is>
          <t>991005030589702656</t>
        </is>
      </c>
      <c r="BA606" t="inlineStr">
        <is>
          <t>2263591710002656</t>
        </is>
      </c>
      <c r="BB606" t="inlineStr">
        <is>
          <t>BOOK</t>
        </is>
      </c>
      <c r="BE606" t="inlineStr">
        <is>
          <t>32285000348788</t>
        </is>
      </c>
      <c r="BF606" t="inlineStr">
        <is>
          <t>893876832</t>
        </is>
      </c>
    </row>
    <row r="607">
      <c r="A607" t="inlineStr">
        <is>
          <t>No</t>
        </is>
      </c>
      <c r="B607" t="inlineStr">
        <is>
          <t>CURAL</t>
        </is>
      </c>
      <c r="C607" t="inlineStr">
        <is>
          <t>SHELVES</t>
        </is>
      </c>
      <c r="D607" t="inlineStr">
        <is>
          <t>BL820.O7 L5 1973</t>
        </is>
      </c>
      <c r="E607" t="inlineStr">
        <is>
          <t>0                      BL 0820000O  7                  L  5           1973</t>
        </is>
      </c>
      <c r="F607" t="inlineStr">
        <is>
          <t>The arts of Orpheus / by Ivan M. Linforth.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No</t>
        </is>
      </c>
      <c r="L607" t="inlineStr">
        <is>
          <t>0</t>
        </is>
      </c>
      <c r="M607" t="inlineStr">
        <is>
          <t>Linforth, Ivan M. (Ivan Mortimer), 1879-1976.</t>
        </is>
      </c>
      <c r="N607" t="inlineStr">
        <is>
          <t>New York, Arno Press, 1973 [c1941]</t>
        </is>
      </c>
      <c r="O607" t="inlineStr">
        <is>
          <t>1973</t>
        </is>
      </c>
      <c r="Q607" t="inlineStr">
        <is>
          <t>eng</t>
        </is>
      </c>
      <c r="R607" t="inlineStr">
        <is>
          <t>nyu</t>
        </is>
      </c>
      <c r="S607" t="inlineStr">
        <is>
          <t>Philosophy of Plato and Aristotle</t>
        </is>
      </c>
      <c r="T607" t="inlineStr">
        <is>
          <t xml:space="preserve">BL </t>
        </is>
      </c>
      <c r="U607" t="n">
        <v>3</v>
      </c>
      <c r="V607" t="n">
        <v>3</v>
      </c>
      <c r="W607" t="inlineStr">
        <is>
          <t>2007-03-26</t>
        </is>
      </c>
      <c r="X607" t="inlineStr">
        <is>
          <t>2007-03-26</t>
        </is>
      </c>
      <c r="Y607" t="inlineStr">
        <is>
          <t>1990-10-15</t>
        </is>
      </c>
      <c r="Z607" t="inlineStr">
        <is>
          <t>1990-10-15</t>
        </is>
      </c>
      <c r="AA607" t="n">
        <v>262</v>
      </c>
      <c r="AB607" t="n">
        <v>205</v>
      </c>
      <c r="AC607" t="n">
        <v>364</v>
      </c>
      <c r="AD607" t="n">
        <v>1</v>
      </c>
      <c r="AE607" t="n">
        <v>2</v>
      </c>
      <c r="AF607" t="n">
        <v>13</v>
      </c>
      <c r="AG607" t="n">
        <v>24</v>
      </c>
      <c r="AH607" t="n">
        <v>4</v>
      </c>
      <c r="AI607" t="n">
        <v>8</v>
      </c>
      <c r="AJ607" t="n">
        <v>7</v>
      </c>
      <c r="AK607" t="n">
        <v>7</v>
      </c>
      <c r="AL607" t="n">
        <v>6</v>
      </c>
      <c r="AM607" t="n">
        <v>14</v>
      </c>
      <c r="AN607" t="n">
        <v>0</v>
      </c>
      <c r="AO607" t="n">
        <v>1</v>
      </c>
      <c r="AP607" t="n">
        <v>0</v>
      </c>
      <c r="AQ607" t="n">
        <v>0</v>
      </c>
      <c r="AR607" t="inlineStr">
        <is>
          <t>No</t>
        </is>
      </c>
      <c r="AS607" t="inlineStr">
        <is>
          <t>Yes</t>
        </is>
      </c>
      <c r="AT607">
        <f>HYPERLINK("http://catalog.hathitrust.org/Record/007117090","HathiTrust Record")</f>
        <v/>
      </c>
      <c r="AU607">
        <f>HYPERLINK("https://creighton-primo.hosted.exlibrisgroup.com/primo-explore/search?tab=default_tab&amp;search_scope=EVERYTHING&amp;vid=01CRU&amp;lang=en_US&amp;offset=0&amp;query=any,contains,991002896389702656","Catalog Record")</f>
        <v/>
      </c>
      <c r="AV607">
        <f>HYPERLINK("http://www.worldcat.org/oclc/514515","WorldCat Record")</f>
        <v/>
      </c>
      <c r="AW607" t="inlineStr">
        <is>
          <t>1487158:eng</t>
        </is>
      </c>
      <c r="AX607" t="inlineStr">
        <is>
          <t>514515</t>
        </is>
      </c>
      <c r="AY607" t="inlineStr">
        <is>
          <t>991002896389702656</t>
        </is>
      </c>
      <c r="AZ607" t="inlineStr">
        <is>
          <t>991002896389702656</t>
        </is>
      </c>
      <c r="BA607" t="inlineStr">
        <is>
          <t>2262103410002656</t>
        </is>
      </c>
      <c r="BB607" t="inlineStr">
        <is>
          <t>BOOK</t>
        </is>
      </c>
      <c r="BD607" t="inlineStr">
        <is>
          <t>9780405048470</t>
        </is>
      </c>
      <c r="BE607" t="inlineStr">
        <is>
          <t>32285000348796</t>
        </is>
      </c>
      <c r="BF607" t="inlineStr">
        <is>
          <t>893245788</t>
        </is>
      </c>
    </row>
    <row r="608">
      <c r="A608" t="inlineStr">
        <is>
          <t>No</t>
        </is>
      </c>
      <c r="B608" t="inlineStr">
        <is>
          <t>CURAL</t>
        </is>
      </c>
      <c r="C608" t="inlineStr">
        <is>
          <t>SHELVES</t>
        </is>
      </c>
      <c r="D608" t="inlineStr">
        <is>
          <t>BL820.P68 K43</t>
        </is>
      </c>
      <c r="E608" t="inlineStr">
        <is>
          <t>0                      BL 0820000P  68                 K  43</t>
        </is>
      </c>
      <c r="F608" t="inlineStr">
        <is>
          <t>Prometheus, archetypal image of human existence / Translated from the German by Ralph Manheim.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Kerényi, Karl, 1897-1973.</t>
        </is>
      </c>
      <c r="N608" t="inlineStr">
        <is>
          <t>[New York, Bollingen Foundation; distributed by] Pantheon Books [1963]</t>
        </is>
      </c>
      <c r="O608" t="inlineStr">
        <is>
          <t>1963</t>
        </is>
      </c>
      <c r="Q608" t="inlineStr">
        <is>
          <t>eng</t>
        </is>
      </c>
      <c r="R608" t="inlineStr">
        <is>
          <t>nyu</t>
        </is>
      </c>
      <c r="S608" t="inlineStr">
        <is>
          <t>Archetypal images in Greek religion, v.1</t>
        </is>
      </c>
      <c r="T608" t="inlineStr">
        <is>
          <t xml:space="preserve">BL </t>
        </is>
      </c>
      <c r="U608" t="n">
        <v>8</v>
      </c>
      <c r="V608" t="n">
        <v>8</v>
      </c>
      <c r="W608" t="inlineStr">
        <is>
          <t>2003-04-29</t>
        </is>
      </c>
      <c r="X608" t="inlineStr">
        <is>
          <t>2003-04-29</t>
        </is>
      </c>
      <c r="Y608" t="inlineStr">
        <is>
          <t>1990-10-15</t>
        </is>
      </c>
      <c r="Z608" t="inlineStr">
        <is>
          <t>1990-10-15</t>
        </is>
      </c>
      <c r="AA608" t="n">
        <v>653</v>
      </c>
      <c r="AB608" t="n">
        <v>586</v>
      </c>
      <c r="AC608" t="n">
        <v>588</v>
      </c>
      <c r="AD608" t="n">
        <v>4</v>
      </c>
      <c r="AE608" t="n">
        <v>4</v>
      </c>
      <c r="AF608" t="n">
        <v>20</v>
      </c>
      <c r="AG608" t="n">
        <v>20</v>
      </c>
      <c r="AH608" t="n">
        <v>5</v>
      </c>
      <c r="AI608" t="n">
        <v>5</v>
      </c>
      <c r="AJ608" t="n">
        <v>6</v>
      </c>
      <c r="AK608" t="n">
        <v>6</v>
      </c>
      <c r="AL608" t="n">
        <v>12</v>
      </c>
      <c r="AM608" t="n">
        <v>12</v>
      </c>
      <c r="AN608" t="n">
        <v>3</v>
      </c>
      <c r="AO608" t="n">
        <v>3</v>
      </c>
      <c r="AP608" t="n">
        <v>0</v>
      </c>
      <c r="AQ608" t="n">
        <v>0</v>
      </c>
      <c r="AR608" t="inlineStr">
        <is>
          <t>No</t>
        </is>
      </c>
      <c r="AS608" t="inlineStr">
        <is>
          <t>No</t>
        </is>
      </c>
      <c r="AT608">
        <f>HYPERLINK("http://catalog.hathitrust.org/Record/001392669","HathiTrust Record")</f>
        <v/>
      </c>
      <c r="AU608">
        <f>HYPERLINK("https://creighton-primo.hosted.exlibrisgroup.com/primo-explore/search?tab=default_tab&amp;search_scope=EVERYTHING&amp;vid=01CRU&amp;lang=en_US&amp;offset=0&amp;query=any,contains,991003303699702656","Catalog Record")</f>
        <v/>
      </c>
      <c r="AV608">
        <f>HYPERLINK("http://www.worldcat.org/oclc/826753","WorldCat Record")</f>
        <v/>
      </c>
      <c r="AW608" t="inlineStr">
        <is>
          <t>10627948209:eng</t>
        </is>
      </c>
      <c r="AX608" t="inlineStr">
        <is>
          <t>826753</t>
        </is>
      </c>
      <c r="AY608" t="inlineStr">
        <is>
          <t>991003303699702656</t>
        </is>
      </c>
      <c r="AZ608" t="inlineStr">
        <is>
          <t>991003303699702656</t>
        </is>
      </c>
      <c r="BA608" t="inlineStr">
        <is>
          <t>2268923190002656</t>
        </is>
      </c>
      <c r="BB608" t="inlineStr">
        <is>
          <t>BOOK</t>
        </is>
      </c>
      <c r="BE608" t="inlineStr">
        <is>
          <t>32285000348812</t>
        </is>
      </c>
      <c r="BF608" t="inlineStr">
        <is>
          <t>893323963</t>
        </is>
      </c>
    </row>
    <row r="609">
      <c r="A609" t="inlineStr">
        <is>
          <t>No</t>
        </is>
      </c>
      <c r="B609" t="inlineStr">
        <is>
          <t>CURAL</t>
        </is>
      </c>
      <c r="C609" t="inlineStr">
        <is>
          <t>SHELVES</t>
        </is>
      </c>
      <c r="D609" t="inlineStr">
        <is>
          <t>BL85 .D87</t>
        </is>
      </c>
      <c r="E609" t="inlineStr">
        <is>
          <t>0                      BL 0085000D  87</t>
        </is>
      </c>
      <c r="F609" t="inlineStr">
        <is>
          <t>The way of all the earth; experiments in truth and religion [by] John S. Dunne.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Dunne, John S., 1929-2013.</t>
        </is>
      </c>
      <c r="N609" t="inlineStr">
        <is>
          <t>New York, Macmillan [1972]</t>
        </is>
      </c>
      <c r="O609" t="inlineStr">
        <is>
          <t>1972</t>
        </is>
      </c>
      <c r="Q609" t="inlineStr">
        <is>
          <t>eng</t>
        </is>
      </c>
      <c r="R609" t="inlineStr">
        <is>
          <t>nyu</t>
        </is>
      </c>
      <c r="T609" t="inlineStr">
        <is>
          <t xml:space="preserve">BL </t>
        </is>
      </c>
      <c r="U609" t="n">
        <v>1</v>
      </c>
      <c r="V609" t="n">
        <v>1</v>
      </c>
      <c r="W609" t="inlineStr">
        <is>
          <t>1998-06-29</t>
        </is>
      </c>
      <c r="X609" t="inlineStr">
        <is>
          <t>1998-06-29</t>
        </is>
      </c>
      <c r="Y609" t="inlineStr">
        <is>
          <t>1990-10-02</t>
        </is>
      </c>
      <c r="Z609" t="inlineStr">
        <is>
          <t>1990-10-02</t>
        </is>
      </c>
      <c r="AA609" t="n">
        <v>489</v>
      </c>
      <c r="AB609" t="n">
        <v>445</v>
      </c>
      <c r="AC609" t="n">
        <v>634</v>
      </c>
      <c r="AD609" t="n">
        <v>3</v>
      </c>
      <c r="AE609" t="n">
        <v>4</v>
      </c>
      <c r="AF609" t="n">
        <v>26</v>
      </c>
      <c r="AG609" t="n">
        <v>35</v>
      </c>
      <c r="AH609" t="n">
        <v>8</v>
      </c>
      <c r="AI609" t="n">
        <v>13</v>
      </c>
      <c r="AJ609" t="n">
        <v>6</v>
      </c>
      <c r="AK609" t="n">
        <v>7</v>
      </c>
      <c r="AL609" t="n">
        <v>18</v>
      </c>
      <c r="AM609" t="n">
        <v>21</v>
      </c>
      <c r="AN609" t="n">
        <v>2</v>
      </c>
      <c r="AO609" t="n">
        <v>3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HYPERLINK("http://catalog.hathitrust.org/Record/006755445","HathiTrust Record")</f>
        <v/>
      </c>
      <c r="AU609">
        <f>HYPERLINK("https://creighton-primo.hosted.exlibrisgroup.com/primo-explore/search?tab=default_tab&amp;search_scope=EVERYTHING&amp;vid=01CRU&amp;lang=en_US&amp;offset=0&amp;query=any,contains,991002113729702656","Catalog Record")</f>
        <v/>
      </c>
      <c r="AV609">
        <f>HYPERLINK("http://www.worldcat.org/oclc/267784","WorldCat Record")</f>
        <v/>
      </c>
      <c r="AW609" t="inlineStr">
        <is>
          <t>11874631:eng</t>
        </is>
      </c>
      <c r="AX609" t="inlineStr">
        <is>
          <t>267784</t>
        </is>
      </c>
      <c r="AY609" t="inlineStr">
        <is>
          <t>991002113729702656</t>
        </is>
      </c>
      <c r="AZ609" t="inlineStr">
        <is>
          <t>991002113729702656</t>
        </is>
      </c>
      <c r="BA609" t="inlineStr">
        <is>
          <t>2270623140002656</t>
        </is>
      </c>
      <c r="BB609" t="inlineStr">
        <is>
          <t>BOOK</t>
        </is>
      </c>
      <c r="BE609" t="inlineStr">
        <is>
          <t>32285000330612</t>
        </is>
      </c>
      <c r="BF609" t="inlineStr">
        <is>
          <t>893898399</t>
        </is>
      </c>
    </row>
    <row r="610">
      <c r="A610" t="inlineStr">
        <is>
          <t>No</t>
        </is>
      </c>
      <c r="B610" t="inlineStr">
        <is>
          <t>CURAL</t>
        </is>
      </c>
      <c r="C610" t="inlineStr">
        <is>
          <t>SHELVES</t>
        </is>
      </c>
      <c r="D610" t="inlineStr">
        <is>
          <t>BL85 .K32</t>
        </is>
      </c>
      <c r="E610" t="inlineStr">
        <is>
          <t>0                      BL 0085000K  32</t>
        </is>
      </c>
      <c r="F610" t="inlineStr">
        <is>
          <t>Religions of mankind, by Otto Karrer, translated by E. I. Watkin.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Karrer, Otto, 1888-1976.</t>
        </is>
      </c>
      <c r="N610" t="inlineStr">
        <is>
          <t>New York, Sheed and Ward, 1936.</t>
        </is>
      </c>
      <c r="O610" t="inlineStr">
        <is>
          <t>1936</t>
        </is>
      </c>
      <c r="Q610" t="inlineStr">
        <is>
          <t>eng</t>
        </is>
      </c>
      <c r="R610" t="inlineStr">
        <is>
          <t>___</t>
        </is>
      </c>
      <c r="T610" t="inlineStr">
        <is>
          <t xml:space="preserve">BL </t>
        </is>
      </c>
      <c r="U610" t="n">
        <v>4</v>
      </c>
      <c r="V610" t="n">
        <v>4</v>
      </c>
      <c r="W610" t="inlineStr">
        <is>
          <t>1999-11-12</t>
        </is>
      </c>
      <c r="X610" t="inlineStr">
        <is>
          <t>1999-11-12</t>
        </is>
      </c>
      <c r="Y610" t="inlineStr">
        <is>
          <t>1990-10-02</t>
        </is>
      </c>
      <c r="Z610" t="inlineStr">
        <is>
          <t>1990-10-02</t>
        </is>
      </c>
      <c r="AA610" t="n">
        <v>169</v>
      </c>
      <c r="AB610" t="n">
        <v>150</v>
      </c>
      <c r="AC610" t="n">
        <v>275</v>
      </c>
      <c r="AD610" t="n">
        <v>1</v>
      </c>
      <c r="AE610" t="n">
        <v>2</v>
      </c>
      <c r="AF610" t="n">
        <v>19</v>
      </c>
      <c r="AG610" t="n">
        <v>28</v>
      </c>
      <c r="AH610" t="n">
        <v>5</v>
      </c>
      <c r="AI610" t="n">
        <v>7</v>
      </c>
      <c r="AJ610" t="n">
        <v>7</v>
      </c>
      <c r="AK610" t="n">
        <v>10</v>
      </c>
      <c r="AL610" t="n">
        <v>15</v>
      </c>
      <c r="AM610" t="n">
        <v>21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HYPERLINK("https://creighton-primo.hosted.exlibrisgroup.com/primo-explore/search?tab=default_tab&amp;search_scope=EVERYTHING&amp;vid=01CRU&amp;lang=en_US&amp;offset=0&amp;query=any,contains,991003799029702656","Catalog Record")</f>
        <v/>
      </c>
      <c r="AV610">
        <f>HYPERLINK("http://www.worldcat.org/oclc/1524662","WorldCat Record")</f>
        <v/>
      </c>
      <c r="AW610" t="inlineStr">
        <is>
          <t>2551313:eng</t>
        </is>
      </c>
      <c r="AX610" t="inlineStr">
        <is>
          <t>1524662</t>
        </is>
      </c>
      <c r="AY610" t="inlineStr">
        <is>
          <t>991003799029702656</t>
        </is>
      </c>
      <c r="AZ610" t="inlineStr">
        <is>
          <t>991003799029702656</t>
        </is>
      </c>
      <c r="BA610" t="inlineStr">
        <is>
          <t>2265295030002656</t>
        </is>
      </c>
      <c r="BB610" t="inlineStr">
        <is>
          <t>BOOK</t>
        </is>
      </c>
      <c r="BE610" t="inlineStr">
        <is>
          <t>32285000330620</t>
        </is>
      </c>
      <c r="BF610" t="inlineStr">
        <is>
          <t>893787789</t>
        </is>
      </c>
    </row>
    <row r="611">
      <c r="A611" t="inlineStr">
        <is>
          <t>No</t>
        </is>
      </c>
      <c r="B611" t="inlineStr">
        <is>
          <t>CURAL</t>
        </is>
      </c>
      <c r="C611" t="inlineStr">
        <is>
          <t>SHELVES</t>
        </is>
      </c>
      <c r="D611" t="inlineStr">
        <is>
          <t>BL85 .M73 1983</t>
        </is>
      </c>
      <c r="E611" t="inlineStr">
        <is>
          <t>0                      BL 0085000M  73          1983</t>
        </is>
      </c>
      <c r="F611" t="inlineStr">
        <is>
          <t>Searching : practices and beliefs of the religious cults and human potential groups / by Harriet S. Mosatche.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Mosatche, Harriet S., 1949-</t>
        </is>
      </c>
      <c r="N611" t="inlineStr">
        <is>
          <t>New York, N.Y. : Stravon Educational Press, c1983.</t>
        </is>
      </c>
      <c r="O611" t="inlineStr">
        <is>
          <t>1983</t>
        </is>
      </c>
      <c r="Q611" t="inlineStr">
        <is>
          <t>eng</t>
        </is>
      </c>
      <c r="R611" t="inlineStr">
        <is>
          <t>nyu</t>
        </is>
      </c>
      <c r="T611" t="inlineStr">
        <is>
          <t xml:space="preserve">BL </t>
        </is>
      </c>
      <c r="U611" t="n">
        <v>6</v>
      </c>
      <c r="V611" t="n">
        <v>6</v>
      </c>
      <c r="W611" t="inlineStr">
        <is>
          <t>2002-10-21</t>
        </is>
      </c>
      <c r="X611" t="inlineStr">
        <is>
          <t>2002-10-21</t>
        </is>
      </c>
      <c r="Y611" t="inlineStr">
        <is>
          <t>1990-07-02</t>
        </is>
      </c>
      <c r="Z611" t="inlineStr">
        <is>
          <t>1990-07-02</t>
        </is>
      </c>
      <c r="AA611" t="n">
        <v>602</v>
      </c>
      <c r="AB611" t="n">
        <v>544</v>
      </c>
      <c r="AC611" t="n">
        <v>546</v>
      </c>
      <c r="AD611" t="n">
        <v>6</v>
      </c>
      <c r="AE611" t="n">
        <v>6</v>
      </c>
      <c r="AF611" t="n">
        <v>19</v>
      </c>
      <c r="AG611" t="n">
        <v>19</v>
      </c>
      <c r="AH611" t="n">
        <v>10</v>
      </c>
      <c r="AI611" t="n">
        <v>10</v>
      </c>
      <c r="AJ611" t="n">
        <v>2</v>
      </c>
      <c r="AK611" t="n">
        <v>2</v>
      </c>
      <c r="AL611" t="n">
        <v>9</v>
      </c>
      <c r="AM611" t="n">
        <v>9</v>
      </c>
      <c r="AN611" t="n">
        <v>3</v>
      </c>
      <c r="AO611" t="n">
        <v>3</v>
      </c>
      <c r="AP611" t="n">
        <v>0</v>
      </c>
      <c r="AQ611" t="n">
        <v>0</v>
      </c>
      <c r="AR611" t="inlineStr">
        <is>
          <t>No</t>
        </is>
      </c>
      <c r="AS611" t="inlineStr">
        <is>
          <t>Yes</t>
        </is>
      </c>
      <c r="AT611">
        <f>HYPERLINK("http://catalog.hathitrust.org/Record/000163798","HathiTrust Record")</f>
        <v/>
      </c>
      <c r="AU611">
        <f>HYPERLINK("https://creighton-primo.hosted.exlibrisgroup.com/primo-explore/search?tab=default_tab&amp;search_scope=EVERYTHING&amp;vid=01CRU&amp;lang=en_US&amp;offset=0&amp;query=any,contains,991000209649702656","Catalog Record")</f>
        <v/>
      </c>
      <c r="AV611">
        <f>HYPERLINK("http://www.worldcat.org/oclc/9533248","WorldCat Record")</f>
        <v/>
      </c>
      <c r="AW611" t="inlineStr">
        <is>
          <t>43691886:eng</t>
        </is>
      </c>
      <c r="AX611" t="inlineStr">
        <is>
          <t>9533248</t>
        </is>
      </c>
      <c r="AY611" t="inlineStr">
        <is>
          <t>991000209649702656</t>
        </is>
      </c>
      <c r="AZ611" t="inlineStr">
        <is>
          <t>991000209649702656</t>
        </is>
      </c>
      <c r="BA611" t="inlineStr">
        <is>
          <t>2263090490002656</t>
        </is>
      </c>
      <c r="BB611" t="inlineStr">
        <is>
          <t>BOOK</t>
        </is>
      </c>
      <c r="BD611" t="inlineStr">
        <is>
          <t>9780873960922</t>
        </is>
      </c>
      <c r="BE611" t="inlineStr">
        <is>
          <t>32285000220656</t>
        </is>
      </c>
      <c r="BF611" t="inlineStr">
        <is>
          <t>893249181</t>
        </is>
      </c>
    </row>
    <row r="612">
      <c r="A612" t="inlineStr">
        <is>
          <t>No</t>
        </is>
      </c>
      <c r="B612" t="inlineStr">
        <is>
          <t>CURAL</t>
        </is>
      </c>
      <c r="C612" t="inlineStr">
        <is>
          <t>SHELVES</t>
        </is>
      </c>
      <c r="D612" t="inlineStr">
        <is>
          <t>BL85 .P36 1995</t>
        </is>
      </c>
      <c r="E612" t="inlineStr">
        <is>
          <t>0                      BL 0085000P  36          1995</t>
        </is>
      </c>
      <c r="F612" t="inlineStr">
        <is>
          <t>A parliament of souls : in search of global spirituality : interviews with 28 spiritual leaders from around the world / edited by Michael Tobias, Jane Morrison, Bettina Gray.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San Francisco : KQED Books : Distributed to the trade by Publishers Group West, c1995.</t>
        </is>
      </c>
      <c r="O612" t="inlineStr">
        <is>
          <t>1995</t>
        </is>
      </c>
      <c r="Q612" t="inlineStr">
        <is>
          <t>eng</t>
        </is>
      </c>
      <c r="R612" t="inlineStr">
        <is>
          <t>cau</t>
        </is>
      </c>
      <c r="T612" t="inlineStr">
        <is>
          <t xml:space="preserve">BL </t>
        </is>
      </c>
      <c r="U612" t="n">
        <v>1</v>
      </c>
      <c r="V612" t="n">
        <v>1</v>
      </c>
      <c r="W612" t="inlineStr">
        <is>
          <t>2009-07-28</t>
        </is>
      </c>
      <c r="X612" t="inlineStr">
        <is>
          <t>2009-07-28</t>
        </is>
      </c>
      <c r="Y612" t="inlineStr">
        <is>
          <t>2009-07-27</t>
        </is>
      </c>
      <c r="Z612" t="inlineStr">
        <is>
          <t>2009-07-27</t>
        </is>
      </c>
      <c r="AA612" t="n">
        <v>227</v>
      </c>
      <c r="AB612" t="n">
        <v>199</v>
      </c>
      <c r="AC612" t="n">
        <v>204</v>
      </c>
      <c r="AD612" t="n">
        <v>2</v>
      </c>
      <c r="AE612" t="n">
        <v>2</v>
      </c>
      <c r="AF612" t="n">
        <v>16</v>
      </c>
      <c r="AG612" t="n">
        <v>16</v>
      </c>
      <c r="AH612" t="n">
        <v>5</v>
      </c>
      <c r="AI612" t="n">
        <v>5</v>
      </c>
      <c r="AJ612" t="n">
        <v>5</v>
      </c>
      <c r="AK612" t="n">
        <v>5</v>
      </c>
      <c r="AL612" t="n">
        <v>11</v>
      </c>
      <c r="AM612" t="n">
        <v>11</v>
      </c>
      <c r="AN612" t="n">
        <v>1</v>
      </c>
      <c r="AO612" t="n">
        <v>1</v>
      </c>
      <c r="AP612" t="n">
        <v>0</v>
      </c>
      <c r="AQ612" t="n">
        <v>0</v>
      </c>
      <c r="AR612" t="inlineStr">
        <is>
          <t>No</t>
        </is>
      </c>
      <c r="AS612" t="inlineStr">
        <is>
          <t>No</t>
        </is>
      </c>
      <c r="AU612">
        <f>HYPERLINK("https://creighton-primo.hosted.exlibrisgroup.com/primo-explore/search?tab=default_tab&amp;search_scope=EVERYTHING&amp;vid=01CRU&amp;lang=en_US&amp;offset=0&amp;query=any,contains,991005328159702656","Catalog Record")</f>
        <v/>
      </c>
      <c r="AV612">
        <f>HYPERLINK("http://www.worldcat.org/oclc/32132663","WorldCat Record")</f>
        <v/>
      </c>
      <c r="AW612" t="inlineStr">
        <is>
          <t>34415304:eng</t>
        </is>
      </c>
      <c r="AX612" t="inlineStr">
        <is>
          <t>32132663</t>
        </is>
      </c>
      <c r="AY612" t="inlineStr">
        <is>
          <t>991005328159702656</t>
        </is>
      </c>
      <c r="AZ612" t="inlineStr">
        <is>
          <t>991005328159702656</t>
        </is>
      </c>
      <c r="BA612" t="inlineStr">
        <is>
          <t>2262196710002656</t>
        </is>
      </c>
      <c r="BB612" t="inlineStr">
        <is>
          <t>BOOK</t>
        </is>
      </c>
      <c r="BD612" t="inlineStr">
        <is>
          <t>9780912333359</t>
        </is>
      </c>
      <c r="BE612" t="inlineStr">
        <is>
          <t>32285005539548</t>
        </is>
      </c>
      <c r="BF612" t="inlineStr">
        <is>
          <t>893688962</t>
        </is>
      </c>
    </row>
    <row r="613">
      <c r="A613" t="inlineStr">
        <is>
          <t>No</t>
        </is>
      </c>
      <c r="B613" t="inlineStr">
        <is>
          <t>CURAL</t>
        </is>
      </c>
      <c r="C613" t="inlineStr">
        <is>
          <t>SHELVES</t>
        </is>
      </c>
      <c r="D613" t="inlineStr">
        <is>
          <t>BL85 .R378 1985</t>
        </is>
      </c>
      <c r="E613" t="inlineStr">
        <is>
          <t>0                      BL 0085000R  378         1985</t>
        </is>
      </c>
      <c r="F613" t="inlineStr">
        <is>
          <t>Religious movements : genesis, exodus, and numbers / edited by Rodney Stark.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N613" t="inlineStr">
        <is>
          <t>New York : Paragon House Publishers, c1985.</t>
        </is>
      </c>
      <c r="O613" t="inlineStr">
        <is>
          <t>1985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BL </t>
        </is>
      </c>
      <c r="U613" t="n">
        <v>3</v>
      </c>
      <c r="V613" t="n">
        <v>3</v>
      </c>
      <c r="W613" t="inlineStr">
        <is>
          <t>1999-11-07</t>
        </is>
      </c>
      <c r="X613" t="inlineStr">
        <is>
          <t>1999-11-07</t>
        </is>
      </c>
      <c r="Y613" t="inlineStr">
        <is>
          <t>1991-07-25</t>
        </is>
      </c>
      <c r="Z613" t="inlineStr">
        <is>
          <t>1991-07-25</t>
        </is>
      </c>
      <c r="AA613" t="n">
        <v>280</v>
      </c>
      <c r="AB613" t="n">
        <v>218</v>
      </c>
      <c r="AC613" t="n">
        <v>224</v>
      </c>
      <c r="AD613" t="n">
        <v>2</v>
      </c>
      <c r="AE613" t="n">
        <v>2</v>
      </c>
      <c r="AF613" t="n">
        <v>11</v>
      </c>
      <c r="AG613" t="n">
        <v>11</v>
      </c>
      <c r="AH613" t="n">
        <v>4</v>
      </c>
      <c r="AI613" t="n">
        <v>4</v>
      </c>
      <c r="AJ613" t="n">
        <v>2</v>
      </c>
      <c r="AK613" t="n">
        <v>2</v>
      </c>
      <c r="AL613" t="n">
        <v>6</v>
      </c>
      <c r="AM613" t="n">
        <v>6</v>
      </c>
      <c r="AN613" t="n">
        <v>1</v>
      </c>
      <c r="AO613" t="n">
        <v>1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HYPERLINK("http://catalog.hathitrust.org/Record/000591590","HathiTrust Record")</f>
        <v/>
      </c>
      <c r="AU613">
        <f>HYPERLINK("https://creighton-primo.hosted.exlibrisgroup.com/primo-explore/search?tab=default_tab&amp;search_scope=EVERYTHING&amp;vid=01CRU&amp;lang=en_US&amp;offset=0&amp;query=any,contains,991000641179702656","Catalog Record")</f>
        <v/>
      </c>
      <c r="AV613">
        <f>HYPERLINK("http://www.worldcat.org/oclc/12104337","WorldCat Record")</f>
        <v/>
      </c>
      <c r="AW613" t="inlineStr">
        <is>
          <t>892691814:eng</t>
        </is>
      </c>
      <c r="AX613" t="inlineStr">
        <is>
          <t>12104337</t>
        </is>
      </c>
      <c r="AY613" t="inlineStr">
        <is>
          <t>991000641179702656</t>
        </is>
      </c>
      <c r="AZ613" t="inlineStr">
        <is>
          <t>991000641179702656</t>
        </is>
      </c>
      <c r="BA613" t="inlineStr">
        <is>
          <t>2260128080002656</t>
        </is>
      </c>
      <c r="BB613" t="inlineStr">
        <is>
          <t>BOOK</t>
        </is>
      </c>
      <c r="BD613" t="inlineStr">
        <is>
          <t>9780913757444</t>
        </is>
      </c>
      <c r="BE613" t="inlineStr">
        <is>
          <t>32285000662899</t>
        </is>
      </c>
      <c r="BF613" t="inlineStr">
        <is>
          <t>893620659</t>
        </is>
      </c>
    </row>
    <row r="614">
      <c r="A614" t="inlineStr">
        <is>
          <t>No</t>
        </is>
      </c>
      <c r="B614" t="inlineStr">
        <is>
          <t>CURAL</t>
        </is>
      </c>
      <c r="C614" t="inlineStr">
        <is>
          <t>SHELVES</t>
        </is>
      </c>
      <c r="D614" t="inlineStr">
        <is>
          <t>BL85 .S4 1995</t>
        </is>
      </c>
      <c r="E614" t="inlineStr">
        <is>
          <t>0                      BL 0085000S  4           1995</t>
        </is>
      </c>
      <c r="F614" t="inlineStr">
        <is>
          <t>Sects and new religious movements: an anthology of texts from the Catholic Church (1986-1994) / edited by the working group on new religious movements, Vatican City.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No</t>
        </is>
      </c>
      <c r="L614" t="inlineStr">
        <is>
          <t>0</t>
        </is>
      </c>
      <c r="M614" t="inlineStr">
        <is>
          <t>United States Catholic Conference.</t>
        </is>
      </c>
      <c r="N614" t="inlineStr">
        <is>
          <t>Washington, DC: The Conference, 1995</t>
        </is>
      </c>
      <c r="O614" t="inlineStr">
        <is>
          <t>1995</t>
        </is>
      </c>
      <c r="Q614" t="inlineStr">
        <is>
          <t>eng</t>
        </is>
      </c>
      <c r="R614" t="inlineStr">
        <is>
          <t>dcu</t>
        </is>
      </c>
      <c r="S614" t="inlineStr">
        <is>
          <t>Publication ; no. 5-023</t>
        </is>
      </c>
      <c r="T614" t="inlineStr">
        <is>
          <t xml:space="preserve">BL </t>
        </is>
      </c>
      <c r="U614" t="n">
        <v>1</v>
      </c>
      <c r="V614" t="n">
        <v>1</v>
      </c>
      <c r="W614" t="inlineStr">
        <is>
          <t>1997-11-21</t>
        </is>
      </c>
      <c r="X614" t="inlineStr">
        <is>
          <t>1997-11-21</t>
        </is>
      </c>
      <c r="Y614" t="inlineStr">
        <is>
          <t>1996-01-02</t>
        </is>
      </c>
      <c r="Z614" t="inlineStr">
        <is>
          <t>1996-01-02</t>
        </is>
      </c>
      <c r="AA614" t="n">
        <v>110</v>
      </c>
      <c r="AB614" t="n">
        <v>96</v>
      </c>
      <c r="AC614" t="n">
        <v>96</v>
      </c>
      <c r="AD614" t="n">
        <v>3</v>
      </c>
      <c r="AE614" t="n">
        <v>3</v>
      </c>
      <c r="AF614" t="n">
        <v>17</v>
      </c>
      <c r="AG614" t="n">
        <v>17</v>
      </c>
      <c r="AH614" t="n">
        <v>5</v>
      </c>
      <c r="AI614" t="n">
        <v>5</v>
      </c>
      <c r="AJ614" t="n">
        <v>5</v>
      </c>
      <c r="AK614" t="n">
        <v>5</v>
      </c>
      <c r="AL614" t="n">
        <v>13</v>
      </c>
      <c r="AM614" t="n">
        <v>13</v>
      </c>
      <c r="AN614" t="n">
        <v>1</v>
      </c>
      <c r="AO614" t="n">
        <v>1</v>
      </c>
      <c r="AP614" t="n">
        <v>0</v>
      </c>
      <c r="AQ614" t="n">
        <v>0</v>
      </c>
      <c r="AR614" t="inlineStr">
        <is>
          <t>No</t>
        </is>
      </c>
      <c r="AS614" t="inlineStr">
        <is>
          <t>No</t>
        </is>
      </c>
      <c r="AU614">
        <f>HYPERLINK("https://creighton-primo.hosted.exlibrisgroup.com/primo-explore/search?tab=default_tab&amp;search_scope=EVERYTHING&amp;vid=01CRU&amp;lang=en_US&amp;offset=0&amp;query=any,contains,991002585279702656","Catalog Record")</f>
        <v/>
      </c>
      <c r="AV614">
        <f>HYPERLINK("http://www.worldcat.org/oclc/50480267","WorldCat Record")</f>
        <v/>
      </c>
      <c r="AW614" t="inlineStr">
        <is>
          <t>892298479:eng</t>
        </is>
      </c>
      <c r="AX614" t="inlineStr">
        <is>
          <t>50480267</t>
        </is>
      </c>
      <c r="AY614" t="inlineStr">
        <is>
          <t>991002585279702656</t>
        </is>
      </c>
      <c r="AZ614" t="inlineStr">
        <is>
          <t>991002585279702656</t>
        </is>
      </c>
      <c r="BA614" t="inlineStr">
        <is>
          <t>2271467990002656</t>
        </is>
      </c>
      <c r="BB614" t="inlineStr">
        <is>
          <t>BOOK</t>
        </is>
      </c>
      <c r="BD614" t="inlineStr">
        <is>
          <t>9781574550238</t>
        </is>
      </c>
      <c r="BE614" t="inlineStr">
        <is>
          <t>32285002113750</t>
        </is>
      </c>
      <c r="BF614" t="inlineStr">
        <is>
          <t>893685512</t>
        </is>
      </c>
    </row>
    <row r="615">
      <c r="A615" t="inlineStr">
        <is>
          <t>No</t>
        </is>
      </c>
      <c r="B615" t="inlineStr">
        <is>
          <t>CURAL</t>
        </is>
      </c>
      <c r="C615" t="inlineStr">
        <is>
          <t>SHELVES</t>
        </is>
      </c>
      <c r="D615" t="inlineStr">
        <is>
          <t>BL85 .S5 1972</t>
        </is>
      </c>
      <c r="E615" t="inlineStr">
        <is>
          <t>0                      BL 0085000S  5           1972</t>
        </is>
      </c>
      <c r="F615" t="inlineStr">
        <is>
          <t>The faith of other men / Wilfred Cantwell Smith.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Smith, Wilfred Cantwell, 1916-2000.</t>
        </is>
      </c>
      <c r="N615" t="inlineStr">
        <is>
          <t>New York : Harper &amp; Row, 1972, c1963.</t>
        </is>
      </c>
      <c r="O615" t="inlineStr">
        <is>
          <t>1972</t>
        </is>
      </c>
      <c r="Q615" t="inlineStr">
        <is>
          <t>eng</t>
        </is>
      </c>
      <c r="R615" t="inlineStr">
        <is>
          <t>___</t>
        </is>
      </c>
      <c r="S615" t="inlineStr">
        <is>
          <t>Harper torchbooks</t>
        </is>
      </c>
      <c r="T615" t="inlineStr">
        <is>
          <t xml:space="preserve">BL </t>
        </is>
      </c>
      <c r="U615" t="n">
        <v>6</v>
      </c>
      <c r="V615" t="n">
        <v>6</v>
      </c>
      <c r="W615" t="inlineStr">
        <is>
          <t>1993-03-29</t>
        </is>
      </c>
      <c r="X615" t="inlineStr">
        <is>
          <t>1993-03-29</t>
        </is>
      </c>
      <c r="Y615" t="inlineStr">
        <is>
          <t>1990-10-02</t>
        </is>
      </c>
      <c r="Z615" t="inlineStr">
        <is>
          <t>1990-10-02</t>
        </is>
      </c>
      <c r="AA615" t="n">
        <v>200</v>
      </c>
      <c r="AB615" t="n">
        <v>164</v>
      </c>
      <c r="AC615" t="n">
        <v>614</v>
      </c>
      <c r="AD615" t="n">
        <v>1</v>
      </c>
      <c r="AE615" t="n">
        <v>2</v>
      </c>
      <c r="AF615" t="n">
        <v>15</v>
      </c>
      <c r="AG615" t="n">
        <v>30</v>
      </c>
      <c r="AH615" t="n">
        <v>8</v>
      </c>
      <c r="AI615" t="n">
        <v>12</v>
      </c>
      <c r="AJ615" t="n">
        <v>5</v>
      </c>
      <c r="AK615" t="n">
        <v>8</v>
      </c>
      <c r="AL615" t="n">
        <v>8</v>
      </c>
      <c r="AM615" t="n">
        <v>19</v>
      </c>
      <c r="AN615" t="n">
        <v>0</v>
      </c>
      <c r="AO615" t="n">
        <v>1</v>
      </c>
      <c r="AP615" t="n">
        <v>0</v>
      </c>
      <c r="AQ615" t="n">
        <v>0</v>
      </c>
      <c r="AR615" t="inlineStr">
        <is>
          <t>No</t>
        </is>
      </c>
      <c r="AS615" t="inlineStr">
        <is>
          <t>Yes</t>
        </is>
      </c>
      <c r="AT615">
        <f>HYPERLINK("http://catalog.hathitrust.org/Record/102073330","HathiTrust Record")</f>
        <v/>
      </c>
      <c r="AU615">
        <f>HYPERLINK("https://creighton-primo.hosted.exlibrisgroup.com/primo-explore/search?tab=default_tab&amp;search_scope=EVERYTHING&amp;vid=01CRU&amp;lang=en_US&amp;offset=0&amp;query=any,contains,991003108539702656","Catalog Record")</f>
        <v/>
      </c>
      <c r="AV615">
        <f>HYPERLINK("http://www.worldcat.org/oclc/655638","WorldCat Record")</f>
        <v/>
      </c>
      <c r="AW615" t="inlineStr">
        <is>
          <t>198049404:eng</t>
        </is>
      </c>
      <c r="AX615" t="inlineStr">
        <is>
          <t>655638</t>
        </is>
      </c>
      <c r="AY615" t="inlineStr">
        <is>
          <t>991003108539702656</t>
        </is>
      </c>
      <c r="AZ615" t="inlineStr">
        <is>
          <t>991003108539702656</t>
        </is>
      </c>
      <c r="BA615" t="inlineStr">
        <is>
          <t>2260743980002656</t>
        </is>
      </c>
      <c r="BB615" t="inlineStr">
        <is>
          <t>BOOK</t>
        </is>
      </c>
      <c r="BE615" t="inlineStr">
        <is>
          <t>32285000330679</t>
        </is>
      </c>
      <c r="BF615" t="inlineStr">
        <is>
          <t>893887137</t>
        </is>
      </c>
    </row>
    <row r="616">
      <c r="A616" t="inlineStr">
        <is>
          <t>No</t>
        </is>
      </c>
      <c r="B616" t="inlineStr">
        <is>
          <t>CURAL</t>
        </is>
      </c>
      <c r="C616" t="inlineStr">
        <is>
          <t>SHELVES</t>
        </is>
      </c>
      <c r="D616" t="inlineStr">
        <is>
          <t>BL860 .D36</t>
        </is>
      </c>
      <c r="E616" t="inlineStr">
        <is>
          <t>0                      BL 0860000D  36</t>
        </is>
      </c>
      <c r="F616" t="inlineStr">
        <is>
          <t>Gods and myths of northern Europe / [by] H. R. Ellis Davidson.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Davidson, H. R. Ellis (Hilda Roderick Ellis), 1914-2006.</t>
        </is>
      </c>
      <c r="N616" t="inlineStr">
        <is>
          <t>Baltimore, Penguin Books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mdu</t>
        </is>
      </c>
      <c r="S616" t="inlineStr">
        <is>
          <t>Pelican book ; A670</t>
        </is>
      </c>
      <c r="T616" t="inlineStr">
        <is>
          <t xml:space="preserve">BL </t>
        </is>
      </c>
      <c r="U616" t="n">
        <v>11</v>
      </c>
      <c r="V616" t="n">
        <v>11</v>
      </c>
      <c r="W616" t="inlineStr">
        <is>
          <t>2009-09-13</t>
        </is>
      </c>
      <c r="X616" t="inlineStr">
        <is>
          <t>2009-09-13</t>
        </is>
      </c>
      <c r="Y616" t="inlineStr">
        <is>
          <t>1995-02-28</t>
        </is>
      </c>
      <c r="Z616" t="inlineStr">
        <is>
          <t>1995-02-28</t>
        </is>
      </c>
      <c r="AA616" t="n">
        <v>919</v>
      </c>
      <c r="AB616" t="n">
        <v>786</v>
      </c>
      <c r="AC616" t="n">
        <v>1329</v>
      </c>
      <c r="AD616" t="n">
        <v>5</v>
      </c>
      <c r="AE616" t="n">
        <v>8</v>
      </c>
      <c r="AF616" t="n">
        <v>36</v>
      </c>
      <c r="AG616" t="n">
        <v>44</v>
      </c>
      <c r="AH616" t="n">
        <v>14</v>
      </c>
      <c r="AI616" t="n">
        <v>18</v>
      </c>
      <c r="AJ616" t="n">
        <v>9</v>
      </c>
      <c r="AK616" t="n">
        <v>9</v>
      </c>
      <c r="AL616" t="n">
        <v>18</v>
      </c>
      <c r="AM616" t="n">
        <v>21</v>
      </c>
      <c r="AN616" t="n">
        <v>4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HYPERLINK("http://catalog.hathitrust.org/Record/001392680","HathiTrust Record")</f>
        <v/>
      </c>
      <c r="AU616">
        <f>HYPERLINK("https://creighton-primo.hosted.exlibrisgroup.com/primo-explore/search?tab=default_tab&amp;search_scope=EVERYTHING&amp;vid=01CRU&amp;lang=en_US&amp;offset=0&amp;query=any,contains,991003932639702656","Catalog Record")</f>
        <v/>
      </c>
      <c r="AV616">
        <f>HYPERLINK("http://www.worldcat.org/oclc/1903305","WorldCat Record")</f>
        <v/>
      </c>
      <c r="AW616" t="inlineStr">
        <is>
          <t>1696083:eng</t>
        </is>
      </c>
      <c r="AX616" t="inlineStr">
        <is>
          <t>1903305</t>
        </is>
      </c>
      <c r="AY616" t="inlineStr">
        <is>
          <t>991003932639702656</t>
        </is>
      </c>
      <c r="AZ616" t="inlineStr">
        <is>
          <t>991003932639702656</t>
        </is>
      </c>
      <c r="BA616" t="inlineStr">
        <is>
          <t>2259163250002656</t>
        </is>
      </c>
      <c r="BB616" t="inlineStr">
        <is>
          <t>BOOK</t>
        </is>
      </c>
      <c r="BE616" t="inlineStr">
        <is>
          <t>32285001779726</t>
        </is>
      </c>
      <c r="BF616" t="inlineStr">
        <is>
          <t>893417019</t>
        </is>
      </c>
    </row>
    <row r="617">
      <c r="A617" t="inlineStr">
        <is>
          <t>No</t>
        </is>
      </c>
      <c r="B617" t="inlineStr">
        <is>
          <t>CURAL</t>
        </is>
      </c>
      <c r="C617" t="inlineStr">
        <is>
          <t>SHELVES</t>
        </is>
      </c>
      <c r="D617" t="inlineStr">
        <is>
          <t>BL87 .E413 1965a</t>
        </is>
      </c>
      <c r="E617" t="inlineStr">
        <is>
          <t>0                      BL 0087000E  413         1965a</t>
        </is>
      </c>
      <c r="F617" t="inlineStr">
        <is>
          <t>Mephistopheles and the Androgyne; studies in religious myth and symbol. Translated by J. M. Cohen.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Yes</t>
        </is>
      </c>
      <c r="L617" t="inlineStr">
        <is>
          <t>0</t>
        </is>
      </c>
      <c r="M617" t="inlineStr">
        <is>
          <t>Eliade, Mircea, 1907-1986.</t>
        </is>
      </c>
      <c r="N617" t="inlineStr">
        <is>
          <t>New York, Sheed and Ward [c1965]</t>
        </is>
      </c>
      <c r="O617" t="inlineStr">
        <is>
          <t>1965</t>
        </is>
      </c>
      <c r="Q617" t="inlineStr">
        <is>
          <t>eng</t>
        </is>
      </c>
      <c r="R617" t="inlineStr">
        <is>
          <t>nyu</t>
        </is>
      </c>
      <c r="T617" t="inlineStr">
        <is>
          <t xml:space="preserve">BL </t>
        </is>
      </c>
      <c r="U617" t="n">
        <v>6</v>
      </c>
      <c r="V617" t="n">
        <v>6</v>
      </c>
      <c r="W617" t="inlineStr">
        <is>
          <t>2004-04-09</t>
        </is>
      </c>
      <c r="X617" t="inlineStr">
        <is>
          <t>2004-04-09</t>
        </is>
      </c>
      <c r="Y617" t="inlineStr">
        <is>
          <t>1990-10-02</t>
        </is>
      </c>
      <c r="Z617" t="inlineStr">
        <is>
          <t>1990-10-02</t>
        </is>
      </c>
      <c r="AA617" t="n">
        <v>450</v>
      </c>
      <c r="AB617" t="n">
        <v>417</v>
      </c>
      <c r="AC617" t="n">
        <v>752</v>
      </c>
      <c r="AD617" t="n">
        <v>3</v>
      </c>
      <c r="AE617" t="n">
        <v>5</v>
      </c>
      <c r="AF617" t="n">
        <v>27</v>
      </c>
      <c r="AG617" t="n">
        <v>37</v>
      </c>
      <c r="AH617" t="n">
        <v>9</v>
      </c>
      <c r="AI617" t="n">
        <v>14</v>
      </c>
      <c r="AJ617" t="n">
        <v>7</v>
      </c>
      <c r="AK617" t="n">
        <v>10</v>
      </c>
      <c r="AL617" t="n">
        <v>20</v>
      </c>
      <c r="AM617" t="n">
        <v>21</v>
      </c>
      <c r="AN617" t="n">
        <v>1</v>
      </c>
      <c r="AO617" t="n">
        <v>3</v>
      </c>
      <c r="AP617" t="n">
        <v>0</v>
      </c>
      <c r="AQ617" t="n">
        <v>0</v>
      </c>
      <c r="AR617" t="inlineStr">
        <is>
          <t>No</t>
        </is>
      </c>
      <c r="AS617" t="inlineStr">
        <is>
          <t>Yes</t>
        </is>
      </c>
      <c r="AT617">
        <f>HYPERLINK("http://catalog.hathitrust.org/Record/001397200","HathiTrust Record")</f>
        <v/>
      </c>
      <c r="AU617">
        <f>HYPERLINK("https://creighton-primo.hosted.exlibrisgroup.com/primo-explore/search?tab=default_tab&amp;search_scope=EVERYTHING&amp;vid=01CRU&amp;lang=en_US&amp;offset=0&amp;query=any,contains,991002637199702656","Catalog Record")</f>
        <v/>
      </c>
      <c r="AV617">
        <f>HYPERLINK("http://www.worldcat.org/oclc/382828","WorldCat Record")</f>
        <v/>
      </c>
      <c r="AW617" t="inlineStr">
        <is>
          <t>49134735:eng</t>
        </is>
      </c>
      <c r="AX617" t="inlineStr">
        <is>
          <t>382828</t>
        </is>
      </c>
      <c r="AY617" t="inlineStr">
        <is>
          <t>991002637199702656</t>
        </is>
      </c>
      <c r="AZ617" t="inlineStr">
        <is>
          <t>991002637199702656</t>
        </is>
      </c>
      <c r="BA617" t="inlineStr">
        <is>
          <t>2260324650002656</t>
        </is>
      </c>
      <c r="BB617" t="inlineStr">
        <is>
          <t>BOOK</t>
        </is>
      </c>
      <c r="BE617" t="inlineStr">
        <is>
          <t>32285000330695</t>
        </is>
      </c>
      <c r="BF617" t="inlineStr">
        <is>
          <t>893504627</t>
        </is>
      </c>
    </row>
    <row r="618">
      <c r="A618" t="inlineStr">
        <is>
          <t>No</t>
        </is>
      </c>
      <c r="B618" t="inlineStr">
        <is>
          <t>CURAL</t>
        </is>
      </c>
      <c r="C618" t="inlineStr">
        <is>
          <t>SHELVES</t>
        </is>
      </c>
      <c r="D618" t="inlineStr">
        <is>
          <t>BL87 .E413 1979</t>
        </is>
      </c>
      <c r="E618" t="inlineStr">
        <is>
          <t>0                      BL 0087000E  413         1979</t>
        </is>
      </c>
      <c r="F618" t="inlineStr">
        <is>
          <t>The two and the one / Mircea Eliade ; translated by J. M. Cohen.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Yes</t>
        </is>
      </c>
      <c r="L618" t="inlineStr">
        <is>
          <t>0</t>
        </is>
      </c>
      <c r="M618" t="inlineStr">
        <is>
          <t>Eliade, Mircea, 1907-1986.</t>
        </is>
      </c>
      <c r="N618" t="inlineStr">
        <is>
          <t>Chicago : University of Chicago Press, 1979, c1965.</t>
        </is>
      </c>
      <c r="O618" t="inlineStr">
        <is>
          <t>1979</t>
        </is>
      </c>
      <c r="P618" t="inlineStr">
        <is>
          <t>Phoenix ed.</t>
        </is>
      </c>
      <c r="Q618" t="inlineStr">
        <is>
          <t>eng</t>
        </is>
      </c>
      <c r="R618" t="inlineStr">
        <is>
          <t>ilu</t>
        </is>
      </c>
      <c r="S618" t="inlineStr">
        <is>
          <t>A Phoenix book</t>
        </is>
      </c>
      <c r="T618" t="inlineStr">
        <is>
          <t xml:space="preserve">BL </t>
        </is>
      </c>
      <c r="U618" t="n">
        <v>1</v>
      </c>
      <c r="V618" t="n">
        <v>1</v>
      </c>
      <c r="W618" t="inlineStr">
        <is>
          <t>2004-04-09</t>
        </is>
      </c>
      <c r="X618" t="inlineStr">
        <is>
          <t>2004-04-09</t>
        </is>
      </c>
      <c r="Y618" t="inlineStr">
        <is>
          <t>1990-04-26</t>
        </is>
      </c>
      <c r="Z618" t="inlineStr">
        <is>
          <t>1990-04-26</t>
        </is>
      </c>
      <c r="AA618" t="n">
        <v>235</v>
      </c>
      <c r="AB618" t="n">
        <v>201</v>
      </c>
      <c r="AC618" t="n">
        <v>752</v>
      </c>
      <c r="AD618" t="n">
        <v>1</v>
      </c>
      <c r="AE618" t="n">
        <v>5</v>
      </c>
      <c r="AF618" t="n">
        <v>8</v>
      </c>
      <c r="AG618" t="n">
        <v>37</v>
      </c>
      <c r="AH618" t="n">
        <v>4</v>
      </c>
      <c r="AI618" t="n">
        <v>14</v>
      </c>
      <c r="AJ618" t="n">
        <v>0</v>
      </c>
      <c r="AK618" t="n">
        <v>10</v>
      </c>
      <c r="AL618" t="n">
        <v>6</v>
      </c>
      <c r="AM618" t="n">
        <v>21</v>
      </c>
      <c r="AN618" t="n">
        <v>0</v>
      </c>
      <c r="AO618" t="n">
        <v>3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HYPERLINK("https://creighton-primo.hosted.exlibrisgroup.com/primo-explore/search?tab=default_tab&amp;search_scope=EVERYTHING&amp;vid=01CRU&amp;lang=en_US&amp;offset=0&amp;query=any,contains,991004750299702656","Catalog Record")</f>
        <v/>
      </c>
      <c r="AV618">
        <f>HYPERLINK("http://www.worldcat.org/oclc/4933204","WorldCat Record")</f>
        <v/>
      </c>
      <c r="AW618" t="inlineStr">
        <is>
          <t>49134735:eng</t>
        </is>
      </c>
      <c r="AX618" t="inlineStr">
        <is>
          <t>4933204</t>
        </is>
      </c>
      <c r="AY618" t="inlineStr">
        <is>
          <t>991004750299702656</t>
        </is>
      </c>
      <c r="AZ618" t="inlineStr">
        <is>
          <t>991004750299702656</t>
        </is>
      </c>
      <c r="BA618" t="inlineStr">
        <is>
          <t>2268954780002656</t>
        </is>
      </c>
      <c r="BB618" t="inlineStr">
        <is>
          <t>BOOK</t>
        </is>
      </c>
      <c r="BD618" t="inlineStr">
        <is>
          <t>9780226203898</t>
        </is>
      </c>
      <c r="BE618" t="inlineStr">
        <is>
          <t>32285000133677</t>
        </is>
      </c>
      <c r="BF618" t="inlineStr">
        <is>
          <t>893235885</t>
        </is>
      </c>
    </row>
    <row r="619">
      <c r="A619" t="inlineStr">
        <is>
          <t>No</t>
        </is>
      </c>
      <c r="B619" t="inlineStr">
        <is>
          <t>CURAL</t>
        </is>
      </c>
      <c r="C619" t="inlineStr">
        <is>
          <t>SHELVES</t>
        </is>
      </c>
      <c r="D619" t="inlineStr">
        <is>
          <t>BL87 .P38 1967</t>
        </is>
      </c>
      <c r="E619" t="inlineStr">
        <is>
          <t>0                      BL 0087000P  38          1967</t>
        </is>
      </c>
      <c r="F619" t="inlineStr">
        <is>
          <t>Essays on the history of religions. Translation [from several languages] by H. J. Rose.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Pettazzoni, Raffaele, 1883-1959.</t>
        </is>
      </c>
      <c r="N619" t="inlineStr">
        <is>
          <t>Leiden, E. J. Brill, 1967.</t>
        </is>
      </c>
      <c r="O619" t="inlineStr">
        <is>
          <t>1967</t>
        </is>
      </c>
      <c r="P619" t="inlineStr">
        <is>
          <t>Photomechanical reprint.</t>
        </is>
      </c>
      <c r="Q619" t="inlineStr">
        <is>
          <t>eng</t>
        </is>
      </c>
      <c r="R619" t="inlineStr">
        <is>
          <t xml:space="preserve">ne </t>
        </is>
      </c>
      <c r="S619" t="inlineStr">
        <is>
          <t>Studies in the history of religions, supplements to Numen, 1</t>
        </is>
      </c>
      <c r="T619" t="inlineStr">
        <is>
          <t xml:space="preserve">BL </t>
        </is>
      </c>
      <c r="U619" t="n">
        <v>4</v>
      </c>
      <c r="V619" t="n">
        <v>4</v>
      </c>
      <c r="W619" t="inlineStr">
        <is>
          <t>2004-05-03</t>
        </is>
      </c>
      <c r="X619" t="inlineStr">
        <is>
          <t>2004-05-03</t>
        </is>
      </c>
      <c r="Y619" t="inlineStr">
        <is>
          <t>1990-10-02</t>
        </is>
      </c>
      <c r="Z619" t="inlineStr">
        <is>
          <t>1990-10-02</t>
        </is>
      </c>
      <c r="AA619" t="n">
        <v>172</v>
      </c>
      <c r="AB619" t="n">
        <v>152</v>
      </c>
      <c r="AC619" t="n">
        <v>338</v>
      </c>
      <c r="AD619" t="n">
        <v>1</v>
      </c>
      <c r="AE619" t="n">
        <v>2</v>
      </c>
      <c r="AF619" t="n">
        <v>13</v>
      </c>
      <c r="AG619" t="n">
        <v>24</v>
      </c>
      <c r="AH619" t="n">
        <v>5</v>
      </c>
      <c r="AI619" t="n">
        <v>9</v>
      </c>
      <c r="AJ619" t="n">
        <v>4</v>
      </c>
      <c r="AK619" t="n">
        <v>7</v>
      </c>
      <c r="AL619" t="n">
        <v>4</v>
      </c>
      <c r="AM619" t="n">
        <v>12</v>
      </c>
      <c r="AN619" t="n">
        <v>0</v>
      </c>
      <c r="AO619" t="n">
        <v>1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HYPERLINK("https://creighton-primo.hosted.exlibrisgroup.com/primo-explore/search?tab=default_tab&amp;search_scope=EVERYTHING&amp;vid=01CRU&amp;lang=en_US&amp;offset=0&amp;query=any,contains,991004186869702656","Catalog Record")</f>
        <v/>
      </c>
      <c r="AV619">
        <f>HYPERLINK("http://www.worldcat.org/oclc/2616716","WorldCat Record")</f>
        <v/>
      </c>
      <c r="AW619" t="inlineStr">
        <is>
          <t>5090717433:eng</t>
        </is>
      </c>
      <c r="AX619" t="inlineStr">
        <is>
          <t>2616716</t>
        </is>
      </c>
      <c r="AY619" t="inlineStr">
        <is>
          <t>991004186869702656</t>
        </is>
      </c>
      <c r="AZ619" t="inlineStr">
        <is>
          <t>991004186869702656</t>
        </is>
      </c>
      <c r="BA619" t="inlineStr">
        <is>
          <t>2265098460002656</t>
        </is>
      </c>
      <c r="BB619" t="inlineStr">
        <is>
          <t>BOOK</t>
        </is>
      </c>
      <c r="BE619" t="inlineStr">
        <is>
          <t>32285000330729</t>
        </is>
      </c>
      <c r="BF619" t="inlineStr">
        <is>
          <t>893343562</t>
        </is>
      </c>
    </row>
    <row r="620">
      <c r="A620" t="inlineStr">
        <is>
          <t>No</t>
        </is>
      </c>
      <c r="B620" t="inlineStr">
        <is>
          <t>CURAL</t>
        </is>
      </c>
      <c r="C620" t="inlineStr">
        <is>
          <t>SHELVES</t>
        </is>
      </c>
      <c r="D620" t="inlineStr">
        <is>
          <t>BL900 .M36</t>
        </is>
      </c>
      <c r="E620" t="inlineStr">
        <is>
          <t>0                      BL 0900000M  36</t>
        </is>
      </c>
      <c r="F620" t="inlineStr">
        <is>
          <t>Celtic mythology / Proinsias MacCana.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Mac Cana, Proinsias.</t>
        </is>
      </c>
      <c r="N620" t="inlineStr">
        <is>
          <t>Feltham, Hamlyn, 1970.</t>
        </is>
      </c>
      <c r="O620" t="inlineStr">
        <is>
          <t>1970</t>
        </is>
      </c>
      <c r="Q620" t="inlineStr">
        <is>
          <t>eng</t>
        </is>
      </c>
      <c r="R620" t="inlineStr">
        <is>
          <t>enk</t>
        </is>
      </c>
      <c r="T620" t="inlineStr">
        <is>
          <t xml:space="preserve">BL </t>
        </is>
      </c>
      <c r="U620" t="n">
        <v>10</v>
      </c>
      <c r="V620" t="n">
        <v>10</v>
      </c>
      <c r="W620" t="inlineStr">
        <is>
          <t>2007-04-12</t>
        </is>
      </c>
      <c r="X620" t="inlineStr">
        <is>
          <t>2007-04-12</t>
        </is>
      </c>
      <c r="Y620" t="inlineStr">
        <is>
          <t>1990-10-16</t>
        </is>
      </c>
      <c r="Z620" t="inlineStr">
        <is>
          <t>1990-10-16</t>
        </is>
      </c>
      <c r="AA620" t="n">
        <v>1060</v>
      </c>
      <c r="AB620" t="n">
        <v>931</v>
      </c>
      <c r="AC620" t="n">
        <v>1737</v>
      </c>
      <c r="AD620" t="n">
        <v>13</v>
      </c>
      <c r="AE620" t="n">
        <v>17</v>
      </c>
      <c r="AF620" t="n">
        <v>35</v>
      </c>
      <c r="AG620" t="n">
        <v>46</v>
      </c>
      <c r="AH620" t="n">
        <v>13</v>
      </c>
      <c r="AI620" t="n">
        <v>18</v>
      </c>
      <c r="AJ620" t="n">
        <v>7</v>
      </c>
      <c r="AK620" t="n">
        <v>9</v>
      </c>
      <c r="AL620" t="n">
        <v>16</v>
      </c>
      <c r="AM620" t="n">
        <v>20</v>
      </c>
      <c r="AN620" t="n">
        <v>8</v>
      </c>
      <c r="AO620" t="n">
        <v>9</v>
      </c>
      <c r="AP620" t="n">
        <v>1</v>
      </c>
      <c r="AQ620" t="n">
        <v>1</v>
      </c>
      <c r="AR620" t="inlineStr">
        <is>
          <t>No</t>
        </is>
      </c>
      <c r="AS620" t="inlineStr">
        <is>
          <t>Yes</t>
        </is>
      </c>
      <c r="AT620">
        <f>HYPERLINK("http://catalog.hathitrust.org/Record/001392713","HathiTrust Record")</f>
        <v/>
      </c>
      <c r="AU620">
        <f>HYPERLINK("https://creighton-primo.hosted.exlibrisgroup.com/primo-explore/search?tab=default_tab&amp;search_scope=EVERYTHING&amp;vid=01CRU&amp;lang=en_US&amp;offset=0&amp;query=any,contains,991000813699702656","Catalog Record")</f>
        <v/>
      </c>
      <c r="AV620">
        <f>HYPERLINK("http://www.worldcat.org/oclc/141547","WorldCat Record")</f>
        <v/>
      </c>
      <c r="AW620" t="inlineStr">
        <is>
          <t>1306794:eng</t>
        </is>
      </c>
      <c r="AX620" t="inlineStr">
        <is>
          <t>141547</t>
        </is>
      </c>
      <c r="AY620" t="inlineStr">
        <is>
          <t>991000813699702656</t>
        </is>
      </c>
      <c r="AZ620" t="inlineStr">
        <is>
          <t>991000813699702656</t>
        </is>
      </c>
      <c r="BA620" t="inlineStr">
        <is>
          <t>2256045310002656</t>
        </is>
      </c>
      <c r="BB620" t="inlineStr">
        <is>
          <t>BOOK</t>
        </is>
      </c>
      <c r="BD620" t="inlineStr">
        <is>
          <t>9780600006473</t>
        </is>
      </c>
      <c r="BE620" t="inlineStr">
        <is>
          <t>32285000348937</t>
        </is>
      </c>
      <c r="BF620" t="inlineStr">
        <is>
          <t>893413703</t>
        </is>
      </c>
    </row>
    <row r="621">
      <c r="A621" t="inlineStr">
        <is>
          <t>No</t>
        </is>
      </c>
      <c r="B621" t="inlineStr">
        <is>
          <t>CURAL</t>
        </is>
      </c>
      <c r="C621" t="inlineStr">
        <is>
          <t>SHELVES</t>
        </is>
      </c>
      <c r="D621" t="inlineStr">
        <is>
          <t>BL900 .M466 1994</t>
        </is>
      </c>
      <c r="E621" t="inlineStr">
        <is>
          <t>0                      BL 0900000M  466         1994</t>
        </is>
      </c>
      <c r="F621" t="inlineStr">
        <is>
          <t>The encyclopaedia of Celtic wisdom : the Celtic shaman's sourcebook / Caitlin and John Matthews.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Matthews, Caitlin, 1952-</t>
        </is>
      </c>
      <c r="N621" t="inlineStr">
        <is>
          <t>Shaftsbury, Dorset ; Rockport, Mass. : Element, 1994.</t>
        </is>
      </c>
      <c r="O621" t="inlineStr">
        <is>
          <t>1994</t>
        </is>
      </c>
      <c r="Q621" t="inlineStr">
        <is>
          <t>eng</t>
        </is>
      </c>
      <c r="R621" t="inlineStr">
        <is>
          <t>enk</t>
        </is>
      </c>
      <c r="T621" t="inlineStr">
        <is>
          <t xml:space="preserve">BL </t>
        </is>
      </c>
      <c r="U621" t="n">
        <v>2</v>
      </c>
      <c r="V621" t="n">
        <v>2</v>
      </c>
      <c r="W621" t="inlineStr">
        <is>
          <t>2009-11-05</t>
        </is>
      </c>
      <c r="X621" t="inlineStr">
        <is>
          <t>2009-11-05</t>
        </is>
      </c>
      <c r="Y621" t="inlineStr">
        <is>
          <t>2008-05-19</t>
        </is>
      </c>
      <c r="Z621" t="inlineStr">
        <is>
          <t>2008-05-19</t>
        </is>
      </c>
      <c r="AA621" t="n">
        <v>536</v>
      </c>
      <c r="AB621" t="n">
        <v>473</v>
      </c>
      <c r="AC621" t="n">
        <v>571</v>
      </c>
      <c r="AD621" t="n">
        <v>3</v>
      </c>
      <c r="AE621" t="n">
        <v>4</v>
      </c>
      <c r="AF621" t="n">
        <v>11</v>
      </c>
      <c r="AG621" t="n">
        <v>13</v>
      </c>
      <c r="AH621" t="n">
        <v>4</v>
      </c>
      <c r="AI621" t="n">
        <v>4</v>
      </c>
      <c r="AJ621" t="n">
        <v>3</v>
      </c>
      <c r="AK621" t="n">
        <v>4</v>
      </c>
      <c r="AL621" t="n">
        <v>8</v>
      </c>
      <c r="AM621" t="n">
        <v>10</v>
      </c>
      <c r="AN621" t="n">
        <v>0</v>
      </c>
      <c r="AO621" t="n">
        <v>0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HYPERLINK("https://creighton-primo.hosted.exlibrisgroup.com/primo-explore/search?tab=default_tab&amp;search_scope=EVERYTHING&amp;vid=01CRU&amp;lang=en_US&amp;offset=0&amp;query=any,contains,991005223309702656","Catalog Record")</f>
        <v/>
      </c>
      <c r="AV621">
        <f>HYPERLINK("http://www.worldcat.org/oclc/30977127","WorldCat Record")</f>
        <v/>
      </c>
      <c r="AW621" t="inlineStr">
        <is>
          <t>20732601:eng</t>
        </is>
      </c>
      <c r="AX621" t="inlineStr">
        <is>
          <t>30977127</t>
        </is>
      </c>
      <c r="AY621" t="inlineStr">
        <is>
          <t>991005223309702656</t>
        </is>
      </c>
      <c r="AZ621" t="inlineStr">
        <is>
          <t>991005223309702656</t>
        </is>
      </c>
      <c r="BA621" t="inlineStr">
        <is>
          <t>2268781540002656</t>
        </is>
      </c>
      <c r="BB621" t="inlineStr">
        <is>
          <t>BOOK</t>
        </is>
      </c>
      <c r="BD621" t="inlineStr">
        <is>
          <t>9781852305611</t>
        </is>
      </c>
      <c r="BE621" t="inlineStr">
        <is>
          <t>32285005409627</t>
        </is>
      </c>
      <c r="BF621" t="inlineStr">
        <is>
          <t>893613330</t>
        </is>
      </c>
    </row>
    <row r="622">
      <c r="A622" t="inlineStr">
        <is>
          <t>No</t>
        </is>
      </c>
      <c r="B622" t="inlineStr">
        <is>
          <t>CURAL</t>
        </is>
      </c>
      <c r="C622" t="inlineStr">
        <is>
          <t>JUVENILE</t>
        </is>
      </c>
      <c r="D622" t="inlineStr">
        <is>
          <t>BL92 .S27 1994</t>
        </is>
      </c>
      <c r="E622" t="inlineStr">
        <is>
          <t>0                      BL 0092000S  27          1994</t>
        </is>
      </c>
      <c r="F622" t="inlineStr">
        <is>
          <t>In God's name / by Sandy Eisenberg Sasso ; and illustrated by Phoebe Stone.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M622" t="inlineStr">
        <is>
          <t>Sasso, Sandy Eisenberg.</t>
        </is>
      </c>
      <c r="N622" t="inlineStr">
        <is>
          <t>Woodstock, Vt. : Jewish Lights Pub., c1994.</t>
        </is>
      </c>
      <c r="O622" t="inlineStr">
        <is>
          <t>1994</t>
        </is>
      </c>
      <c r="P622" t="inlineStr">
        <is>
          <t>1st ed.</t>
        </is>
      </c>
      <c r="Q622" t="inlineStr">
        <is>
          <t>eng</t>
        </is>
      </c>
      <c r="R622" t="inlineStr">
        <is>
          <t>vtu</t>
        </is>
      </c>
      <c r="T622" t="inlineStr">
        <is>
          <t xml:space="preserve">BL </t>
        </is>
      </c>
      <c r="U622" t="n">
        <v>1</v>
      </c>
      <c r="V622" t="n">
        <v>1</v>
      </c>
      <c r="W622" t="inlineStr">
        <is>
          <t>2007-04-30</t>
        </is>
      </c>
      <c r="X622" t="inlineStr">
        <is>
          <t>2007-04-30</t>
        </is>
      </c>
      <c r="Y622" t="inlineStr">
        <is>
          <t>2006-11-02</t>
        </is>
      </c>
      <c r="Z622" t="inlineStr">
        <is>
          <t>2006-11-02</t>
        </is>
      </c>
      <c r="AA622" t="n">
        <v>398</v>
      </c>
      <c r="AB622" t="n">
        <v>369</v>
      </c>
      <c r="AC622" t="n">
        <v>372</v>
      </c>
      <c r="AD622" t="n">
        <v>3</v>
      </c>
      <c r="AE622" t="n">
        <v>3</v>
      </c>
      <c r="AF622" t="n">
        <v>5</v>
      </c>
      <c r="AG622" t="n">
        <v>5</v>
      </c>
      <c r="AH622" t="n">
        <v>2</v>
      </c>
      <c r="AI622" t="n">
        <v>2</v>
      </c>
      <c r="AJ622" t="n">
        <v>4</v>
      </c>
      <c r="AK622" t="n">
        <v>4</v>
      </c>
      <c r="AL622" t="n">
        <v>1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No</t>
        </is>
      </c>
      <c r="AU622">
        <f>HYPERLINK("https://creighton-primo.hosted.exlibrisgroup.com/primo-explore/search?tab=default_tab&amp;search_scope=EVERYTHING&amp;vid=01CRU&amp;lang=en_US&amp;offset=0&amp;query=any,contains,991004964519702656","Catalog Record")</f>
        <v/>
      </c>
      <c r="AV622">
        <f>HYPERLINK("http://www.worldcat.org/oclc/30625907","WorldCat Record")</f>
        <v/>
      </c>
      <c r="AW622" t="inlineStr">
        <is>
          <t>9381517208:eng</t>
        </is>
      </c>
      <c r="AX622" t="inlineStr">
        <is>
          <t>30625907</t>
        </is>
      </c>
      <c r="AY622" t="inlineStr">
        <is>
          <t>991004964519702656</t>
        </is>
      </c>
      <c r="AZ622" t="inlineStr">
        <is>
          <t>991004964519702656</t>
        </is>
      </c>
      <c r="BA622" t="inlineStr">
        <is>
          <t>2263070820002656</t>
        </is>
      </c>
      <c r="BB622" t="inlineStr">
        <is>
          <t>BOOK</t>
        </is>
      </c>
      <c r="BD622" t="inlineStr">
        <is>
          <t>9781879045262</t>
        </is>
      </c>
      <c r="BE622" t="inlineStr">
        <is>
          <t>32285005235121</t>
        </is>
      </c>
      <c r="BF622" t="inlineStr">
        <is>
          <t>893588834</t>
        </is>
      </c>
    </row>
    <row r="623">
      <c r="A623" t="inlineStr">
        <is>
          <t>No</t>
        </is>
      </c>
      <c r="B623" t="inlineStr">
        <is>
          <t>CURAL</t>
        </is>
      </c>
      <c r="C623" t="inlineStr">
        <is>
          <t>SHELVES</t>
        </is>
      </c>
      <c r="D623" t="inlineStr">
        <is>
          <t>BL940.S65 C36 1989</t>
        </is>
      </c>
      <c r="E623" t="inlineStr">
        <is>
          <t>0                      BL 0940000S  65                 C  36          1989</t>
        </is>
      </c>
      <c r="F623" t="inlineStr">
        <is>
          <t>Candle in the wind : religion in the Soviet Union / edited by Eugene B. Shirley, Jr. and Michael Rowe ; foreword by Richard Schifter.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Washington, D.C. : Ethics and Public Policy Center, c1989.</t>
        </is>
      </c>
      <c r="O623" t="inlineStr">
        <is>
          <t>1989</t>
        </is>
      </c>
      <c r="Q623" t="inlineStr">
        <is>
          <t>eng</t>
        </is>
      </c>
      <c r="R623" t="inlineStr">
        <is>
          <t>dcu</t>
        </is>
      </c>
      <c r="T623" t="inlineStr">
        <is>
          <t xml:space="preserve">BL </t>
        </is>
      </c>
      <c r="U623" t="n">
        <v>3</v>
      </c>
      <c r="V623" t="n">
        <v>3</v>
      </c>
      <c r="W623" t="inlineStr">
        <is>
          <t>2003-11-20</t>
        </is>
      </c>
      <c r="X623" t="inlineStr">
        <is>
          <t>2003-11-20</t>
        </is>
      </c>
      <c r="Y623" t="inlineStr">
        <is>
          <t>1990-11-08</t>
        </is>
      </c>
      <c r="Z623" t="inlineStr">
        <is>
          <t>1990-11-08</t>
        </is>
      </c>
      <c r="AA623" t="n">
        <v>513</v>
      </c>
      <c r="AB623" t="n">
        <v>452</v>
      </c>
      <c r="AC623" t="n">
        <v>458</v>
      </c>
      <c r="AD623" t="n">
        <v>4</v>
      </c>
      <c r="AE623" t="n">
        <v>4</v>
      </c>
      <c r="AF623" t="n">
        <v>31</v>
      </c>
      <c r="AG623" t="n">
        <v>31</v>
      </c>
      <c r="AH623" t="n">
        <v>15</v>
      </c>
      <c r="AI623" t="n">
        <v>15</v>
      </c>
      <c r="AJ623" t="n">
        <v>5</v>
      </c>
      <c r="AK623" t="n">
        <v>5</v>
      </c>
      <c r="AL623" t="n">
        <v>16</v>
      </c>
      <c r="AM623" t="n">
        <v>16</v>
      </c>
      <c r="AN623" t="n">
        <v>3</v>
      </c>
      <c r="AO623" t="n">
        <v>3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HYPERLINK("http://catalog.hathitrust.org/Record/001547056","HathiTrust Record")</f>
        <v/>
      </c>
      <c r="AU623">
        <f>HYPERLINK("https://creighton-primo.hosted.exlibrisgroup.com/primo-explore/search?tab=default_tab&amp;search_scope=EVERYTHING&amp;vid=01CRU&amp;lang=en_US&amp;offset=0&amp;query=any,contains,991001457449702656","Catalog Record")</f>
        <v/>
      </c>
      <c r="AV623">
        <f>HYPERLINK("http://www.worldcat.org/oclc/19390103","WorldCat Record")</f>
        <v/>
      </c>
      <c r="AW623" t="inlineStr">
        <is>
          <t>365148077:eng</t>
        </is>
      </c>
      <c r="AX623" t="inlineStr">
        <is>
          <t>19390103</t>
        </is>
      </c>
      <c r="AY623" t="inlineStr">
        <is>
          <t>991001457449702656</t>
        </is>
      </c>
      <c r="AZ623" t="inlineStr">
        <is>
          <t>991001457449702656</t>
        </is>
      </c>
      <c r="BA623" t="inlineStr">
        <is>
          <t>2257351540002656</t>
        </is>
      </c>
      <c r="BB623" t="inlineStr">
        <is>
          <t>BOOK</t>
        </is>
      </c>
      <c r="BD623" t="inlineStr">
        <is>
          <t>9780896331365</t>
        </is>
      </c>
      <c r="BE623" t="inlineStr">
        <is>
          <t>32285000313675</t>
        </is>
      </c>
      <c r="BF623" t="inlineStr">
        <is>
          <t>893703046</t>
        </is>
      </c>
    </row>
    <row r="624">
      <c r="A624" t="inlineStr">
        <is>
          <t>No</t>
        </is>
      </c>
      <c r="B624" t="inlineStr">
        <is>
          <t>CURAL</t>
        </is>
      </c>
      <c r="C624" t="inlineStr">
        <is>
          <t>SHELVES</t>
        </is>
      </c>
      <c r="D624" t="inlineStr">
        <is>
          <t>BL96 .F8</t>
        </is>
      </c>
      <c r="E624" t="inlineStr">
        <is>
          <t>0                      BL 0096000F  8</t>
        </is>
      </c>
      <c r="F624" t="inlineStr">
        <is>
          <t>The intellectual adventure of ancient man; an essay on speculative thought in the ancient Near East, by H. and H. A. Frankfort, John A. Wilson, Thorkild Jacobsen [and] William A. Irwin.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M624" t="inlineStr">
        <is>
          <t>Frankfort, Henri, 1897-1954.</t>
        </is>
      </c>
      <c r="N624" t="inlineStr">
        <is>
          <t>Chicago, The University of Chicago press [1946]</t>
        </is>
      </c>
      <c r="O624" t="inlineStr">
        <is>
          <t>1946</t>
        </is>
      </c>
      <c r="Q624" t="inlineStr">
        <is>
          <t>eng</t>
        </is>
      </c>
      <c r="R624" t="inlineStr">
        <is>
          <t>ilu</t>
        </is>
      </c>
      <c r="T624" t="inlineStr">
        <is>
          <t xml:space="preserve">BL </t>
        </is>
      </c>
      <c r="U624" t="n">
        <v>11</v>
      </c>
      <c r="V624" t="n">
        <v>11</v>
      </c>
      <c r="W624" t="inlineStr">
        <is>
          <t>2007-12-17</t>
        </is>
      </c>
      <c r="X624" t="inlineStr">
        <is>
          <t>2007-12-17</t>
        </is>
      </c>
      <c r="Y624" t="inlineStr">
        <is>
          <t>1990-04-26</t>
        </is>
      </c>
      <c r="Z624" t="inlineStr">
        <is>
          <t>1990-04-26</t>
        </is>
      </c>
      <c r="AA624" t="n">
        <v>1075</v>
      </c>
      <c r="AB624" t="n">
        <v>933</v>
      </c>
      <c r="AC624" t="n">
        <v>1077</v>
      </c>
      <c r="AD624" t="n">
        <v>7</v>
      </c>
      <c r="AE624" t="n">
        <v>7</v>
      </c>
      <c r="AF624" t="n">
        <v>37</v>
      </c>
      <c r="AG624" t="n">
        <v>41</v>
      </c>
      <c r="AH624" t="n">
        <v>13</v>
      </c>
      <c r="AI624" t="n">
        <v>16</v>
      </c>
      <c r="AJ624" t="n">
        <v>9</v>
      </c>
      <c r="AK624" t="n">
        <v>9</v>
      </c>
      <c r="AL624" t="n">
        <v>18</v>
      </c>
      <c r="AM624" t="n">
        <v>21</v>
      </c>
      <c r="AN624" t="n">
        <v>6</v>
      </c>
      <c r="AO624" t="n">
        <v>6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T624">
        <f>HYPERLINK("http://catalog.hathitrust.org/Record/001391781","HathiTrust Record")</f>
        <v/>
      </c>
      <c r="AU624">
        <f>HYPERLINK("https://creighton-primo.hosted.exlibrisgroup.com/primo-explore/search?tab=default_tab&amp;search_scope=EVERYTHING&amp;vid=01CRU&amp;lang=en_US&amp;offset=0&amp;query=any,contains,991001190709702656","Catalog Record")</f>
        <v/>
      </c>
      <c r="AV624">
        <f>HYPERLINK("http://www.worldcat.org/oclc/191066","WorldCat Record")</f>
        <v/>
      </c>
      <c r="AW624" t="inlineStr">
        <is>
          <t>4924373210:eng</t>
        </is>
      </c>
      <c r="AX624" t="inlineStr">
        <is>
          <t>191066</t>
        </is>
      </c>
      <c r="AY624" t="inlineStr">
        <is>
          <t>991001190709702656</t>
        </is>
      </c>
      <c r="AZ624" t="inlineStr">
        <is>
          <t>991001190709702656</t>
        </is>
      </c>
      <c r="BA624" t="inlineStr">
        <is>
          <t>2259144280002656</t>
        </is>
      </c>
      <c r="BB624" t="inlineStr">
        <is>
          <t>BOOK</t>
        </is>
      </c>
      <c r="BE624" t="inlineStr">
        <is>
          <t>32285000133685</t>
        </is>
      </c>
      <c r="BF624" t="inlineStr">
        <is>
          <t>893426398</t>
        </is>
      </c>
    </row>
    <row r="625">
      <c r="A625" t="inlineStr">
        <is>
          <t>No</t>
        </is>
      </c>
      <c r="B625" t="inlineStr">
        <is>
          <t>CURAL</t>
        </is>
      </c>
      <c r="C625" t="inlineStr">
        <is>
          <t>SHELVES</t>
        </is>
      </c>
      <c r="D625" t="inlineStr">
        <is>
          <t>BL96 .F8 1951</t>
        </is>
      </c>
      <c r="E625" t="inlineStr">
        <is>
          <t>0                      BL 0096000F  8           1951</t>
        </is>
      </c>
      <c r="F625" t="inlineStr">
        <is>
          <t>Before philosophy, the intellectual adventure of ancient man; an essay on speculative thought in the ancient Near East / by H. and H. A. Frankfort [and others]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M625" t="inlineStr">
        <is>
          <t>Frankfort, Henri, 1897-1954.</t>
        </is>
      </c>
      <c r="N625" t="inlineStr">
        <is>
          <t>Harmondsworth, Middlesex : Penguin Books, 1951.</t>
        </is>
      </c>
      <c r="O625" t="inlineStr">
        <is>
          <t>1951</t>
        </is>
      </c>
      <c r="Q625" t="inlineStr">
        <is>
          <t>eng</t>
        </is>
      </c>
      <c r="R625" t="inlineStr">
        <is>
          <t>enk</t>
        </is>
      </c>
      <c r="S625" t="inlineStr">
        <is>
          <t>Pelican books ; A198</t>
        </is>
      </c>
      <c r="T625" t="inlineStr">
        <is>
          <t xml:space="preserve">BL </t>
        </is>
      </c>
      <c r="U625" t="n">
        <v>2</v>
      </c>
      <c r="V625" t="n">
        <v>2</v>
      </c>
      <c r="W625" t="inlineStr">
        <is>
          <t>2004-05-03</t>
        </is>
      </c>
      <c r="X625" t="inlineStr">
        <is>
          <t>2004-05-03</t>
        </is>
      </c>
      <c r="Y625" t="inlineStr">
        <is>
          <t>1991-05-30</t>
        </is>
      </c>
      <c r="Z625" t="inlineStr">
        <is>
          <t>1991-05-30</t>
        </is>
      </c>
      <c r="AA625" t="n">
        <v>337</v>
      </c>
      <c r="AB625" t="n">
        <v>288</v>
      </c>
      <c r="AC625" t="n">
        <v>622</v>
      </c>
      <c r="AD625" t="n">
        <v>3</v>
      </c>
      <c r="AE625" t="n">
        <v>4</v>
      </c>
      <c r="AF625" t="n">
        <v>12</v>
      </c>
      <c r="AG625" t="n">
        <v>23</v>
      </c>
      <c r="AH625" t="n">
        <v>7</v>
      </c>
      <c r="AI625" t="n">
        <v>10</v>
      </c>
      <c r="AJ625" t="n">
        <v>2</v>
      </c>
      <c r="AK625" t="n">
        <v>4</v>
      </c>
      <c r="AL625" t="n">
        <v>5</v>
      </c>
      <c r="AM625" t="n">
        <v>13</v>
      </c>
      <c r="AN625" t="n">
        <v>2</v>
      </c>
      <c r="AO625" t="n">
        <v>3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HYPERLINK("http://catalog.hathitrust.org/Record/001391782","HathiTrust Record")</f>
        <v/>
      </c>
      <c r="AU625">
        <f>HYPERLINK("https://creighton-primo.hosted.exlibrisgroup.com/primo-explore/search?tab=default_tab&amp;search_scope=EVERYTHING&amp;vid=01CRU&amp;lang=en_US&amp;offset=0&amp;query=any,contains,991005017579702656","Catalog Record")</f>
        <v/>
      </c>
      <c r="AV625">
        <f>HYPERLINK("http://www.worldcat.org/oclc/6627883","WorldCat Record")</f>
        <v/>
      </c>
      <c r="AW625" t="inlineStr">
        <is>
          <t>866018088:eng</t>
        </is>
      </c>
      <c r="AX625" t="inlineStr">
        <is>
          <t>6627883</t>
        </is>
      </c>
      <c r="AY625" t="inlineStr">
        <is>
          <t>991005017579702656</t>
        </is>
      </c>
      <c r="AZ625" t="inlineStr">
        <is>
          <t>991005017579702656</t>
        </is>
      </c>
      <c r="BA625" t="inlineStr">
        <is>
          <t>2255081820002656</t>
        </is>
      </c>
      <c r="BB625" t="inlineStr">
        <is>
          <t>BOOK</t>
        </is>
      </c>
      <c r="BE625" t="inlineStr">
        <is>
          <t>32285000613454</t>
        </is>
      </c>
      <c r="BF625" t="inlineStr">
        <is>
          <t>893883215</t>
        </is>
      </c>
    </row>
    <row r="626">
      <c r="A626" t="inlineStr">
        <is>
          <t>No</t>
        </is>
      </c>
      <c r="B626" t="inlineStr">
        <is>
          <t>CURAL</t>
        </is>
      </c>
      <c r="C626" t="inlineStr">
        <is>
          <t>SHELVES</t>
        </is>
      </c>
      <c r="D626" t="inlineStr">
        <is>
          <t>BL96 .L6</t>
        </is>
      </c>
      <c r="E626" t="inlineStr">
        <is>
          <t>0                      BL 0096000L  6</t>
        </is>
      </c>
      <c r="F626" t="inlineStr">
        <is>
          <t>Myth, sacred history, and philosophy; the pre-Christian religious heritage of the West.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Loew, Cornelius Richard, 1916-1998.</t>
        </is>
      </c>
      <c r="N626" t="inlineStr">
        <is>
          <t>New York, Harcourt, Brace &amp; World [1967]</t>
        </is>
      </c>
      <c r="O626" t="inlineStr">
        <is>
          <t>1967</t>
        </is>
      </c>
      <c r="Q626" t="inlineStr">
        <is>
          <t>eng</t>
        </is>
      </c>
      <c r="R626" t="inlineStr">
        <is>
          <t>___</t>
        </is>
      </c>
      <c r="T626" t="inlineStr">
        <is>
          <t xml:space="preserve">BL </t>
        </is>
      </c>
      <c r="U626" t="n">
        <v>2</v>
      </c>
      <c r="V626" t="n">
        <v>2</v>
      </c>
      <c r="W626" t="inlineStr">
        <is>
          <t>2004-05-03</t>
        </is>
      </c>
      <c r="X626" t="inlineStr">
        <is>
          <t>2004-05-03</t>
        </is>
      </c>
      <c r="Y626" t="inlineStr">
        <is>
          <t>1990-05-04</t>
        </is>
      </c>
      <c r="Z626" t="inlineStr">
        <is>
          <t>1990-05-04</t>
        </is>
      </c>
      <c r="AA626" t="n">
        <v>630</v>
      </c>
      <c r="AB626" t="n">
        <v>558</v>
      </c>
      <c r="AC626" t="n">
        <v>560</v>
      </c>
      <c r="AD626" t="n">
        <v>8</v>
      </c>
      <c r="AE626" t="n">
        <v>8</v>
      </c>
      <c r="AF626" t="n">
        <v>28</v>
      </c>
      <c r="AG626" t="n">
        <v>28</v>
      </c>
      <c r="AH626" t="n">
        <v>9</v>
      </c>
      <c r="AI626" t="n">
        <v>9</v>
      </c>
      <c r="AJ626" t="n">
        <v>4</v>
      </c>
      <c r="AK626" t="n">
        <v>4</v>
      </c>
      <c r="AL626" t="n">
        <v>15</v>
      </c>
      <c r="AM626" t="n">
        <v>15</v>
      </c>
      <c r="AN626" t="n">
        <v>5</v>
      </c>
      <c r="AO626" t="n">
        <v>5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HYPERLINK("http://catalog.hathitrust.org/Record/001391788","HathiTrust Record")</f>
        <v/>
      </c>
      <c r="AU626">
        <f>HYPERLINK("https://creighton-primo.hosted.exlibrisgroup.com/primo-explore/search?tab=default_tab&amp;search_scope=EVERYTHING&amp;vid=01CRU&amp;lang=en_US&amp;offset=0&amp;query=any,contains,991002723649702656","Catalog Record")</f>
        <v/>
      </c>
      <c r="AV626">
        <f>HYPERLINK("http://www.worldcat.org/oclc/413701","WorldCat Record")</f>
        <v/>
      </c>
      <c r="AW626" t="inlineStr">
        <is>
          <t>293171929:eng</t>
        </is>
      </c>
      <c r="AX626" t="inlineStr">
        <is>
          <t>413701</t>
        </is>
      </c>
      <c r="AY626" t="inlineStr">
        <is>
          <t>991002723649702656</t>
        </is>
      </c>
      <c r="AZ626" t="inlineStr">
        <is>
          <t>991002723649702656</t>
        </is>
      </c>
      <c r="BA626" t="inlineStr">
        <is>
          <t>2268035500002656</t>
        </is>
      </c>
      <c r="BB626" t="inlineStr">
        <is>
          <t>BOOK</t>
        </is>
      </c>
      <c r="BE626" t="inlineStr">
        <is>
          <t>32285000149103</t>
        </is>
      </c>
      <c r="BF626" t="inlineStr">
        <is>
          <t>893886622</t>
        </is>
      </c>
    </row>
    <row r="627">
      <c r="A627" t="inlineStr">
        <is>
          <t>No</t>
        </is>
      </c>
      <c r="B627" t="inlineStr">
        <is>
          <t>CURAL</t>
        </is>
      </c>
      <c r="C627" t="inlineStr">
        <is>
          <t>SHELVES</t>
        </is>
      </c>
      <c r="D627" t="inlineStr">
        <is>
          <t>BL98 .B4 1985</t>
        </is>
      </c>
      <c r="E627" t="inlineStr">
        <is>
          <t>0                      BL 0098000B  4           1985</t>
        </is>
      </c>
      <c r="F627" t="inlineStr">
        <is>
          <t>Cult controversies : the societal response to the new religious movements / James A. Beckford.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M627" t="inlineStr">
        <is>
          <t>Beckford, James A.</t>
        </is>
      </c>
      <c r="N627" t="inlineStr">
        <is>
          <t>London ; New York : Tavistock, 1985.</t>
        </is>
      </c>
      <c r="O627" t="inlineStr">
        <is>
          <t>1985</t>
        </is>
      </c>
      <c r="Q627" t="inlineStr">
        <is>
          <t>eng</t>
        </is>
      </c>
      <c r="R627" t="inlineStr">
        <is>
          <t>enk</t>
        </is>
      </c>
      <c r="T627" t="inlineStr">
        <is>
          <t xml:space="preserve">BL </t>
        </is>
      </c>
      <c r="U627" t="n">
        <v>9</v>
      </c>
      <c r="V627" t="n">
        <v>9</v>
      </c>
      <c r="W627" t="inlineStr">
        <is>
          <t>1999-11-12</t>
        </is>
      </c>
      <c r="X627" t="inlineStr">
        <is>
          <t>1999-11-12</t>
        </is>
      </c>
      <c r="Y627" t="inlineStr">
        <is>
          <t>1990-10-03</t>
        </is>
      </c>
      <c r="Z627" t="inlineStr">
        <is>
          <t>1990-10-03</t>
        </is>
      </c>
      <c r="AA627" t="n">
        <v>832</v>
      </c>
      <c r="AB627" t="n">
        <v>670</v>
      </c>
      <c r="AC627" t="n">
        <v>677</v>
      </c>
      <c r="AD627" t="n">
        <v>8</v>
      </c>
      <c r="AE627" t="n">
        <v>8</v>
      </c>
      <c r="AF627" t="n">
        <v>24</v>
      </c>
      <c r="AG627" t="n">
        <v>24</v>
      </c>
      <c r="AH627" t="n">
        <v>6</v>
      </c>
      <c r="AI627" t="n">
        <v>6</v>
      </c>
      <c r="AJ627" t="n">
        <v>4</v>
      </c>
      <c r="AK627" t="n">
        <v>4</v>
      </c>
      <c r="AL627" t="n">
        <v>13</v>
      </c>
      <c r="AM627" t="n">
        <v>13</v>
      </c>
      <c r="AN627" t="n">
        <v>6</v>
      </c>
      <c r="AO627" t="n">
        <v>6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HYPERLINK("https://creighton-primo.hosted.exlibrisgroup.com/primo-explore/search?tab=default_tab&amp;search_scope=EVERYTHING&amp;vid=01CRU&amp;lang=en_US&amp;offset=0&amp;query=any,contains,991000567709702656","Catalog Record")</f>
        <v/>
      </c>
      <c r="AV627">
        <f>HYPERLINK("http://www.worldcat.org/oclc/11623373","WorldCat Record")</f>
        <v/>
      </c>
      <c r="AW627" t="inlineStr">
        <is>
          <t>836699179:eng</t>
        </is>
      </c>
      <c r="AX627" t="inlineStr">
        <is>
          <t>11623373</t>
        </is>
      </c>
      <c r="AY627" t="inlineStr">
        <is>
          <t>991000567709702656</t>
        </is>
      </c>
      <c r="AZ627" t="inlineStr">
        <is>
          <t>991000567709702656</t>
        </is>
      </c>
      <c r="BA627" t="inlineStr">
        <is>
          <t>2262149320002656</t>
        </is>
      </c>
      <c r="BB627" t="inlineStr">
        <is>
          <t>BOOK</t>
        </is>
      </c>
      <c r="BD627" t="inlineStr">
        <is>
          <t>9780422796408</t>
        </is>
      </c>
      <c r="BE627" t="inlineStr">
        <is>
          <t>32285000330976</t>
        </is>
      </c>
      <c r="BF627" t="inlineStr">
        <is>
          <t>893521801</t>
        </is>
      </c>
    </row>
    <row r="628">
      <c r="A628" t="inlineStr">
        <is>
          <t>No</t>
        </is>
      </c>
      <c r="B628" t="inlineStr">
        <is>
          <t>CURAL</t>
        </is>
      </c>
      <c r="C628" t="inlineStr">
        <is>
          <t>SHELVES</t>
        </is>
      </c>
      <c r="D628" t="inlineStr">
        <is>
          <t>BL98 .F4</t>
        </is>
      </c>
      <c r="E628" t="inlineStr">
        <is>
          <t>0                      BL 0098000F  4</t>
        </is>
      </c>
      <c r="F628" t="inlineStr">
        <is>
          <t>Religion in the twentieth century.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Ferm, Vergilius, 1896-1974, editor.</t>
        </is>
      </c>
      <c r="N628" t="inlineStr">
        <is>
          <t>New York, Philosophical Library [1948]</t>
        </is>
      </c>
      <c r="O628" t="inlineStr">
        <is>
          <t>1948</t>
        </is>
      </c>
      <c r="Q628" t="inlineStr">
        <is>
          <t>eng</t>
        </is>
      </c>
      <c r="R628" t="inlineStr">
        <is>
          <t>___</t>
        </is>
      </c>
      <c r="T628" t="inlineStr">
        <is>
          <t xml:space="preserve">BL </t>
        </is>
      </c>
      <c r="U628" t="n">
        <v>7</v>
      </c>
      <c r="V628" t="n">
        <v>7</v>
      </c>
      <c r="W628" t="inlineStr">
        <is>
          <t>2000-11-07</t>
        </is>
      </c>
      <c r="X628" t="inlineStr">
        <is>
          <t>2000-11-07</t>
        </is>
      </c>
      <c r="Y628" t="inlineStr">
        <is>
          <t>1990-10-03</t>
        </is>
      </c>
      <c r="Z628" t="inlineStr">
        <is>
          <t>1990-10-03</t>
        </is>
      </c>
      <c r="AA628" t="n">
        <v>598</v>
      </c>
      <c r="AB628" t="n">
        <v>557</v>
      </c>
      <c r="AC628" t="n">
        <v>764</v>
      </c>
      <c r="AD628" t="n">
        <v>4</v>
      </c>
      <c r="AE628" t="n">
        <v>5</v>
      </c>
      <c r="AF628" t="n">
        <v>24</v>
      </c>
      <c r="AG628" t="n">
        <v>33</v>
      </c>
      <c r="AH628" t="n">
        <v>10</v>
      </c>
      <c r="AI628" t="n">
        <v>13</v>
      </c>
      <c r="AJ628" t="n">
        <v>4</v>
      </c>
      <c r="AK628" t="n">
        <v>7</v>
      </c>
      <c r="AL628" t="n">
        <v>14</v>
      </c>
      <c r="AM628" t="n">
        <v>18</v>
      </c>
      <c r="AN628" t="n">
        <v>2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T628">
        <f>HYPERLINK("http://catalog.hathitrust.org/Record/001397099","HathiTrust Record")</f>
        <v/>
      </c>
      <c r="AU628">
        <f>HYPERLINK("https://creighton-primo.hosted.exlibrisgroup.com/primo-explore/search?tab=default_tab&amp;search_scope=EVERYTHING&amp;vid=01CRU&amp;lang=en_US&amp;offset=0&amp;query=any,contains,991003562229702656","Catalog Record")</f>
        <v/>
      </c>
      <c r="AV628">
        <f>HYPERLINK("http://www.worldcat.org/oclc/1133359","WorldCat Record")</f>
        <v/>
      </c>
      <c r="AW628" t="inlineStr">
        <is>
          <t>3855341732:eng</t>
        </is>
      </c>
      <c r="AX628" t="inlineStr">
        <is>
          <t>1133359</t>
        </is>
      </c>
      <c r="AY628" t="inlineStr">
        <is>
          <t>991003562229702656</t>
        </is>
      </c>
      <c r="AZ628" t="inlineStr">
        <is>
          <t>991003562229702656</t>
        </is>
      </c>
      <c r="BA628" t="inlineStr">
        <is>
          <t>2266242580002656</t>
        </is>
      </c>
      <c r="BB628" t="inlineStr">
        <is>
          <t>BOOK</t>
        </is>
      </c>
      <c r="BE628" t="inlineStr">
        <is>
          <t>32285000330984</t>
        </is>
      </c>
      <c r="BF628" t="inlineStr">
        <is>
          <t>893228164</t>
        </is>
      </c>
    </row>
    <row r="629">
      <c r="A629" t="inlineStr">
        <is>
          <t>No</t>
        </is>
      </c>
      <c r="B629" t="inlineStr">
        <is>
          <t>CURAL</t>
        </is>
      </c>
      <c r="C629" t="inlineStr">
        <is>
          <t>SHELVES</t>
        </is>
      </c>
      <c r="D629" t="inlineStr">
        <is>
          <t>BL98 .H8 1959</t>
        </is>
      </c>
      <c r="E629" t="inlineStr">
        <is>
          <t>0                      BL 0098000H  8           1959</t>
        </is>
      </c>
      <c r="F629" t="inlineStr">
        <is>
          <t>The world's living religions, with special reference to their sacred scriptures and in comparison with Christianity; an historical sketch.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Hume, Robert Ernest, 1877-1948.</t>
        </is>
      </c>
      <c r="N629" t="inlineStr">
        <is>
          <t>New York, Scribner [1959]</t>
        </is>
      </c>
      <c r="O629" t="inlineStr">
        <is>
          <t>1959</t>
        </is>
      </c>
      <c r="P629" t="inlineStr">
        <is>
          <t>Completely rev.</t>
        </is>
      </c>
      <c r="Q629" t="inlineStr">
        <is>
          <t>eng</t>
        </is>
      </c>
      <c r="R629" t="inlineStr">
        <is>
          <t>nyu</t>
        </is>
      </c>
      <c r="T629" t="inlineStr">
        <is>
          <t xml:space="preserve">BL </t>
        </is>
      </c>
      <c r="U629" t="n">
        <v>13</v>
      </c>
      <c r="V629" t="n">
        <v>13</v>
      </c>
      <c r="W629" t="inlineStr">
        <is>
          <t>2010-11-17</t>
        </is>
      </c>
      <c r="X629" t="inlineStr">
        <is>
          <t>2010-11-17</t>
        </is>
      </c>
      <c r="Y629" t="inlineStr">
        <is>
          <t>1990-10-03</t>
        </is>
      </c>
      <c r="Z629" t="inlineStr">
        <is>
          <t>1990-10-03</t>
        </is>
      </c>
      <c r="AA629" t="n">
        <v>948</v>
      </c>
      <c r="AB629" t="n">
        <v>882</v>
      </c>
      <c r="AC629" t="n">
        <v>931</v>
      </c>
      <c r="AD629" t="n">
        <v>8</v>
      </c>
      <c r="AE629" t="n">
        <v>8</v>
      </c>
      <c r="AF629" t="n">
        <v>22</v>
      </c>
      <c r="AG629" t="n">
        <v>23</v>
      </c>
      <c r="AH629" t="n">
        <v>6</v>
      </c>
      <c r="AI629" t="n">
        <v>7</v>
      </c>
      <c r="AJ629" t="n">
        <v>5</v>
      </c>
      <c r="AK629" t="n">
        <v>5</v>
      </c>
      <c r="AL629" t="n">
        <v>12</v>
      </c>
      <c r="AM629" t="n">
        <v>12</v>
      </c>
      <c r="AN629" t="n">
        <v>4</v>
      </c>
      <c r="AO629" t="n">
        <v>4</v>
      </c>
      <c r="AP629" t="n">
        <v>0</v>
      </c>
      <c r="AQ629" t="n">
        <v>0</v>
      </c>
      <c r="AR629" t="inlineStr">
        <is>
          <t>No</t>
        </is>
      </c>
      <c r="AS629" t="inlineStr">
        <is>
          <t>Yes</t>
        </is>
      </c>
      <c r="AT629">
        <f>HYPERLINK("http://catalog.hathitrust.org/Record/001391799","HathiTrust Record")</f>
        <v/>
      </c>
      <c r="AU629">
        <f>HYPERLINK("https://creighton-primo.hosted.exlibrisgroup.com/primo-explore/search?tab=default_tab&amp;search_scope=EVERYTHING&amp;vid=01CRU&amp;lang=en_US&amp;offset=0&amp;query=any,contains,991002598299702656","Catalog Record")</f>
        <v/>
      </c>
      <c r="AV629">
        <f>HYPERLINK("http://www.worldcat.org/oclc/376905","WorldCat Record")</f>
        <v/>
      </c>
      <c r="AW629" t="inlineStr">
        <is>
          <t>197360114:eng</t>
        </is>
      </c>
      <c r="AX629" t="inlineStr">
        <is>
          <t>376905</t>
        </is>
      </c>
      <c r="AY629" t="inlineStr">
        <is>
          <t>991002598299702656</t>
        </is>
      </c>
      <c r="AZ629" t="inlineStr">
        <is>
          <t>991002598299702656</t>
        </is>
      </c>
      <c r="BA629" t="inlineStr">
        <is>
          <t>2263644830002656</t>
        </is>
      </c>
      <c r="BB629" t="inlineStr">
        <is>
          <t>BOOK</t>
        </is>
      </c>
      <c r="BE629" t="inlineStr">
        <is>
          <t>32285000330992</t>
        </is>
      </c>
      <c r="BF629" t="inlineStr">
        <is>
          <t>893867437</t>
        </is>
      </c>
    </row>
    <row r="630">
      <c r="A630" t="inlineStr">
        <is>
          <t>No</t>
        </is>
      </c>
      <c r="B630" t="inlineStr">
        <is>
          <t>CURAL</t>
        </is>
      </c>
      <c r="C630" t="inlineStr">
        <is>
          <t>SHELVES</t>
        </is>
      </c>
      <c r="D630" t="inlineStr">
        <is>
          <t>BL98 .N56 1985</t>
        </is>
      </c>
      <c r="E630" t="inlineStr">
        <is>
          <t>0                      BL 0098000N  56          1985</t>
        </is>
      </c>
      <c r="F630" t="inlineStr">
        <is>
          <t>Nineteenth century religious thought in the West / edited by Ninian Smart ... [et al.].</t>
        </is>
      </c>
      <c r="G630" t="inlineStr">
        <is>
          <t>V. 3</t>
        </is>
      </c>
      <c r="H630" t="inlineStr">
        <is>
          <t>Yes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N630" t="inlineStr">
        <is>
          <t>Cambridge : New York : Cambridge University Press, 1985.</t>
        </is>
      </c>
      <c r="O630" t="inlineStr">
        <is>
          <t>1985</t>
        </is>
      </c>
      <c r="Q630" t="inlineStr">
        <is>
          <t>eng</t>
        </is>
      </c>
      <c r="R630" t="inlineStr">
        <is>
          <t>enk</t>
        </is>
      </c>
      <c r="T630" t="inlineStr">
        <is>
          <t xml:space="preserve">BL </t>
        </is>
      </c>
      <c r="U630" t="n">
        <v>2</v>
      </c>
      <c r="V630" t="n">
        <v>10</v>
      </c>
      <c r="X630" t="inlineStr">
        <is>
          <t>2006-11-22</t>
        </is>
      </c>
      <c r="Y630" t="inlineStr">
        <is>
          <t>1990-10-03</t>
        </is>
      </c>
      <c r="Z630" t="inlineStr">
        <is>
          <t>1990-10-03</t>
        </is>
      </c>
      <c r="AA630" t="n">
        <v>725</v>
      </c>
      <c r="AB630" t="n">
        <v>598</v>
      </c>
      <c r="AC630" t="n">
        <v>599</v>
      </c>
      <c r="AD630" t="n">
        <v>5</v>
      </c>
      <c r="AE630" t="n">
        <v>5</v>
      </c>
      <c r="AF630" t="n">
        <v>37</v>
      </c>
      <c r="AG630" t="n">
        <v>37</v>
      </c>
      <c r="AH630" t="n">
        <v>13</v>
      </c>
      <c r="AI630" t="n">
        <v>13</v>
      </c>
      <c r="AJ630" t="n">
        <v>10</v>
      </c>
      <c r="AK630" t="n">
        <v>10</v>
      </c>
      <c r="AL630" t="n">
        <v>22</v>
      </c>
      <c r="AM630" t="n">
        <v>22</v>
      </c>
      <c r="AN630" t="n">
        <v>4</v>
      </c>
      <c r="AO630" t="n">
        <v>4</v>
      </c>
      <c r="AP630" t="n">
        <v>0</v>
      </c>
      <c r="AQ630" t="n">
        <v>0</v>
      </c>
      <c r="AR630" t="inlineStr">
        <is>
          <t>No</t>
        </is>
      </c>
      <c r="AS630" t="inlineStr">
        <is>
          <t>Yes</t>
        </is>
      </c>
      <c r="AT630">
        <f>HYPERLINK("http://catalog.hathitrust.org/Record/000346121","HathiTrust Record")</f>
        <v/>
      </c>
      <c r="AU630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0">
        <f>HYPERLINK("http://www.worldcat.org/oclc/10914651","WorldCat Record")</f>
        <v/>
      </c>
      <c r="AW630" t="inlineStr">
        <is>
          <t>3133079344:eng</t>
        </is>
      </c>
      <c r="AX630" t="inlineStr">
        <is>
          <t>10914651</t>
        </is>
      </c>
      <c r="AY630" t="inlineStr">
        <is>
          <t>991000457139702656</t>
        </is>
      </c>
      <c r="AZ630" t="inlineStr">
        <is>
          <t>991000457139702656</t>
        </is>
      </c>
      <c r="BA630" t="inlineStr">
        <is>
          <t>2255926510002656</t>
        </is>
      </c>
      <c r="BB630" t="inlineStr">
        <is>
          <t>BOOK</t>
        </is>
      </c>
      <c r="BD630" t="inlineStr">
        <is>
          <t>9780521228312</t>
        </is>
      </c>
      <c r="BE630" t="inlineStr">
        <is>
          <t>32285000331024</t>
        </is>
      </c>
      <c r="BF630" t="inlineStr">
        <is>
          <t>893327302</t>
        </is>
      </c>
    </row>
    <row r="631">
      <c r="A631" t="inlineStr">
        <is>
          <t>No</t>
        </is>
      </c>
      <c r="B631" t="inlineStr">
        <is>
          <t>CURAL</t>
        </is>
      </c>
      <c r="C631" t="inlineStr">
        <is>
          <t>SHELVES</t>
        </is>
      </c>
      <c r="D631" t="inlineStr">
        <is>
          <t>BL98 .N56 1985</t>
        </is>
      </c>
      <c r="E631" t="inlineStr">
        <is>
          <t>0                      BL 0098000N  56          1985</t>
        </is>
      </c>
      <c r="F631" t="inlineStr">
        <is>
          <t>Nineteenth century religious thought in the West / edited by Ninian Smart ... [et al.].</t>
        </is>
      </c>
      <c r="G631" t="inlineStr">
        <is>
          <t>V. 1</t>
        </is>
      </c>
      <c r="H631" t="inlineStr">
        <is>
          <t>Yes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Cambridge : New York : Cambridge University Press, 1985.</t>
        </is>
      </c>
      <c r="O631" t="inlineStr">
        <is>
          <t>1985</t>
        </is>
      </c>
      <c r="Q631" t="inlineStr">
        <is>
          <t>eng</t>
        </is>
      </c>
      <c r="R631" t="inlineStr">
        <is>
          <t>enk</t>
        </is>
      </c>
      <c r="T631" t="inlineStr">
        <is>
          <t xml:space="preserve">BL </t>
        </is>
      </c>
      <c r="U631" t="n">
        <v>8</v>
      </c>
      <c r="V631" t="n">
        <v>10</v>
      </c>
      <c r="W631" t="inlineStr">
        <is>
          <t>2006-11-22</t>
        </is>
      </c>
      <c r="X631" t="inlineStr">
        <is>
          <t>2006-11-22</t>
        </is>
      </c>
      <c r="Y631" t="inlineStr">
        <is>
          <t>1990-10-03</t>
        </is>
      </c>
      <c r="Z631" t="inlineStr">
        <is>
          <t>1990-10-03</t>
        </is>
      </c>
      <c r="AA631" t="n">
        <v>725</v>
      </c>
      <c r="AB631" t="n">
        <v>598</v>
      </c>
      <c r="AC631" t="n">
        <v>599</v>
      </c>
      <c r="AD631" t="n">
        <v>5</v>
      </c>
      <c r="AE631" t="n">
        <v>5</v>
      </c>
      <c r="AF631" t="n">
        <v>37</v>
      </c>
      <c r="AG631" t="n">
        <v>37</v>
      </c>
      <c r="AH631" t="n">
        <v>13</v>
      </c>
      <c r="AI631" t="n">
        <v>13</v>
      </c>
      <c r="AJ631" t="n">
        <v>10</v>
      </c>
      <c r="AK631" t="n">
        <v>10</v>
      </c>
      <c r="AL631" t="n">
        <v>22</v>
      </c>
      <c r="AM631" t="n">
        <v>22</v>
      </c>
      <c r="AN631" t="n">
        <v>4</v>
      </c>
      <c r="AO631" t="n">
        <v>4</v>
      </c>
      <c r="AP631" t="n">
        <v>0</v>
      </c>
      <c r="AQ631" t="n">
        <v>0</v>
      </c>
      <c r="AR631" t="inlineStr">
        <is>
          <t>No</t>
        </is>
      </c>
      <c r="AS631" t="inlineStr">
        <is>
          <t>Yes</t>
        </is>
      </c>
      <c r="AT631">
        <f>HYPERLINK("http://catalog.hathitrust.org/Record/000346121","HathiTrust Record")</f>
        <v/>
      </c>
      <c r="AU631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1">
        <f>HYPERLINK("http://www.worldcat.org/oclc/10914651","WorldCat Record")</f>
        <v/>
      </c>
      <c r="AW631" t="inlineStr">
        <is>
          <t>3133079344:eng</t>
        </is>
      </c>
      <c r="AX631" t="inlineStr">
        <is>
          <t>10914651</t>
        </is>
      </c>
      <c r="AY631" t="inlineStr">
        <is>
          <t>991000457139702656</t>
        </is>
      </c>
      <c r="AZ631" t="inlineStr">
        <is>
          <t>991000457139702656</t>
        </is>
      </c>
      <c r="BA631" t="inlineStr">
        <is>
          <t>2255926510002656</t>
        </is>
      </c>
      <c r="BB631" t="inlineStr">
        <is>
          <t>BOOK</t>
        </is>
      </c>
      <c r="BD631" t="inlineStr">
        <is>
          <t>9780521228312</t>
        </is>
      </c>
      <c r="BE631" t="inlineStr">
        <is>
          <t>32285000331016</t>
        </is>
      </c>
      <c r="BF631" t="inlineStr">
        <is>
          <t>893327303</t>
        </is>
      </c>
    </row>
    <row r="632">
      <c r="A632" t="inlineStr">
        <is>
          <t>No</t>
        </is>
      </c>
      <c r="B632" t="inlineStr">
        <is>
          <t>CURAL</t>
        </is>
      </c>
      <c r="C632" t="inlineStr">
        <is>
          <t>SHELVES</t>
        </is>
      </c>
      <c r="D632" t="inlineStr">
        <is>
          <t>BL980.G7 A83 1990</t>
        </is>
      </c>
      <c r="E632" t="inlineStr">
        <is>
          <t>0                      BL 0980000G  7                  A  83          1990</t>
        </is>
      </c>
      <c r="F632" t="inlineStr">
        <is>
          <t>Mythology of the British Isles / Geoffrey Ashe.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Ashe, Geoffrey.</t>
        </is>
      </c>
      <c r="N632" t="inlineStr">
        <is>
          <t>London : Methuen London, 1990.</t>
        </is>
      </c>
      <c r="O632" t="inlineStr">
        <is>
          <t>1990</t>
        </is>
      </c>
      <c r="Q632" t="inlineStr">
        <is>
          <t>eng</t>
        </is>
      </c>
      <c r="R632" t="inlineStr">
        <is>
          <t>enk</t>
        </is>
      </c>
      <c r="T632" t="inlineStr">
        <is>
          <t xml:space="preserve">BL </t>
        </is>
      </c>
      <c r="U632" t="n">
        <v>4</v>
      </c>
      <c r="V632" t="n">
        <v>4</v>
      </c>
      <c r="W632" t="inlineStr">
        <is>
          <t>2008-03-25</t>
        </is>
      </c>
      <c r="X632" t="inlineStr">
        <is>
          <t>2008-03-25</t>
        </is>
      </c>
      <c r="Y632" t="inlineStr">
        <is>
          <t>2008-03-25</t>
        </is>
      </c>
      <c r="Z632" t="inlineStr">
        <is>
          <t>2008-03-25</t>
        </is>
      </c>
      <c r="AA632" t="n">
        <v>261</v>
      </c>
      <c r="AB632" t="n">
        <v>111</v>
      </c>
      <c r="AC632" t="n">
        <v>525</v>
      </c>
      <c r="AD632" t="n">
        <v>2</v>
      </c>
      <c r="AE632" t="n">
        <v>4</v>
      </c>
      <c r="AF632" t="n">
        <v>6</v>
      </c>
      <c r="AG632" t="n">
        <v>13</v>
      </c>
      <c r="AH632" t="n">
        <v>2</v>
      </c>
      <c r="AI632" t="n">
        <v>4</v>
      </c>
      <c r="AJ632" t="n">
        <v>0</v>
      </c>
      <c r="AK632" t="n">
        <v>1</v>
      </c>
      <c r="AL632" t="n">
        <v>3</v>
      </c>
      <c r="AM632" t="n">
        <v>6</v>
      </c>
      <c r="AN632" t="n">
        <v>1</v>
      </c>
      <c r="AO632" t="n">
        <v>3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HYPERLINK("http://catalog.hathitrust.org/Record/006809230","HathiTrust Record")</f>
        <v/>
      </c>
      <c r="AU632">
        <f>HYPERLINK("https://creighton-primo.hosted.exlibrisgroup.com/primo-explore/search?tab=default_tab&amp;search_scope=EVERYTHING&amp;vid=01CRU&amp;lang=en_US&amp;offset=0&amp;query=any,contains,991005196629702656","Catalog Record")</f>
        <v/>
      </c>
      <c r="AV632">
        <f>HYPERLINK("http://www.worldcat.org/oclc/20416882","WorldCat Record")</f>
        <v/>
      </c>
      <c r="AW632" t="inlineStr">
        <is>
          <t>8236399:eng</t>
        </is>
      </c>
      <c r="AX632" t="inlineStr">
        <is>
          <t>20416882</t>
        </is>
      </c>
      <c r="AY632" t="inlineStr">
        <is>
          <t>991005196629702656</t>
        </is>
      </c>
      <c r="AZ632" t="inlineStr">
        <is>
          <t>991005196629702656</t>
        </is>
      </c>
      <c r="BA632" t="inlineStr">
        <is>
          <t>2260398600002656</t>
        </is>
      </c>
      <c r="BB632" t="inlineStr">
        <is>
          <t>BOOK</t>
        </is>
      </c>
      <c r="BD632" t="inlineStr">
        <is>
          <t>9780413629906</t>
        </is>
      </c>
      <c r="BE632" t="inlineStr">
        <is>
          <t>32285005398028</t>
        </is>
      </c>
      <c r="BF632" t="inlineStr">
        <is>
          <t>893789599</t>
        </is>
      </c>
    </row>
    <row r="633">
      <c r="A633" t="inlineStr">
        <is>
          <t>No</t>
        </is>
      </c>
      <c r="B633" t="inlineStr">
        <is>
          <t>CURAL</t>
        </is>
      </c>
      <c r="C633" t="inlineStr">
        <is>
          <t>SHELVES</t>
        </is>
      </c>
      <c r="D633" t="inlineStr">
        <is>
          <t>BL980.R8 B64</t>
        </is>
      </c>
      <c r="E633" t="inlineStr">
        <is>
          <t>0                      BL 0980000R  8                  B  64</t>
        </is>
      </c>
      <c r="F633" t="inlineStr">
        <is>
          <t>Religion in the Soviet Union / Albert Boiter ; foreword by David M. Abshire.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Boiter, Albert.</t>
        </is>
      </c>
      <c r="N633" t="inlineStr">
        <is>
          <t>Beverly Hills : published for Center for Strategic and International Studies [by] Sage Publications, c1980.</t>
        </is>
      </c>
      <c r="O633" t="inlineStr">
        <is>
          <t>1980</t>
        </is>
      </c>
      <c r="Q633" t="inlineStr">
        <is>
          <t>eng</t>
        </is>
      </c>
      <c r="R633" t="inlineStr">
        <is>
          <t>cau</t>
        </is>
      </c>
      <c r="S633" t="inlineStr">
        <is>
          <t>A Sage policy paper</t>
        </is>
      </c>
      <c r="T633" t="inlineStr">
        <is>
          <t xml:space="preserve">BL </t>
        </is>
      </c>
      <c r="U633" t="n">
        <v>2</v>
      </c>
      <c r="V633" t="n">
        <v>2</v>
      </c>
      <c r="W633" t="inlineStr">
        <is>
          <t>1993-05-05</t>
        </is>
      </c>
      <c r="X633" t="inlineStr">
        <is>
          <t>1993-05-05</t>
        </is>
      </c>
      <c r="Y633" t="inlineStr">
        <is>
          <t>1990-10-16</t>
        </is>
      </c>
      <c r="Z633" t="inlineStr">
        <is>
          <t>1990-10-16</t>
        </is>
      </c>
      <c r="AA633" t="n">
        <v>278</v>
      </c>
      <c r="AB633" t="n">
        <v>202</v>
      </c>
      <c r="AC633" t="n">
        <v>204</v>
      </c>
      <c r="AD633" t="n">
        <v>2</v>
      </c>
      <c r="AE633" t="n">
        <v>2</v>
      </c>
      <c r="AF633" t="n">
        <v>4</v>
      </c>
      <c r="AG633" t="n">
        <v>4</v>
      </c>
      <c r="AH633" t="n">
        <v>2</v>
      </c>
      <c r="AI633" t="n">
        <v>2</v>
      </c>
      <c r="AJ633" t="n">
        <v>1</v>
      </c>
      <c r="AK633" t="n">
        <v>1</v>
      </c>
      <c r="AL633" t="n">
        <v>3</v>
      </c>
      <c r="AM633" t="n">
        <v>3</v>
      </c>
      <c r="AN633" t="n">
        <v>1</v>
      </c>
      <c r="AO633" t="n">
        <v>1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HYPERLINK("http://catalog.hathitrust.org/Record/000181940","HathiTrust Record")</f>
        <v/>
      </c>
      <c r="AU633">
        <f>HYPERLINK("https://creighton-primo.hosted.exlibrisgroup.com/primo-explore/search?tab=default_tab&amp;search_scope=EVERYTHING&amp;vid=01CRU&amp;lang=en_US&amp;offset=0&amp;query=any,contains,991005046639702656","Catalog Record")</f>
        <v/>
      </c>
      <c r="AV633">
        <f>HYPERLINK("http://www.worldcat.org/oclc/6844571","WorldCat Record")</f>
        <v/>
      </c>
      <c r="AW633" t="inlineStr">
        <is>
          <t>24454188:eng</t>
        </is>
      </c>
      <c r="AX633" t="inlineStr">
        <is>
          <t>6844571</t>
        </is>
      </c>
      <c r="AY633" t="inlineStr">
        <is>
          <t>991005046639702656</t>
        </is>
      </c>
      <c r="AZ633" t="inlineStr">
        <is>
          <t>991005046639702656</t>
        </is>
      </c>
      <c r="BA633" t="inlineStr">
        <is>
          <t>2270962170002656</t>
        </is>
      </c>
      <c r="BB633" t="inlineStr">
        <is>
          <t>BOOK</t>
        </is>
      </c>
      <c r="BD633" t="inlineStr">
        <is>
          <t>9780803915466</t>
        </is>
      </c>
      <c r="BE633" t="inlineStr">
        <is>
          <t>32285000348986</t>
        </is>
      </c>
      <c r="BF633" t="inlineStr">
        <is>
          <t>893889597</t>
        </is>
      </c>
    </row>
    <row r="634">
      <c r="A634" t="inlineStr">
        <is>
          <t>No</t>
        </is>
      </c>
      <c r="B634" t="inlineStr">
        <is>
          <t>CURAL</t>
        </is>
      </c>
      <c r="C634" t="inlineStr">
        <is>
          <t>SHELVES</t>
        </is>
      </c>
      <c r="D634" t="inlineStr">
        <is>
          <t>BL980.S7 S25 1985</t>
        </is>
      </c>
      <c r="E634" t="inlineStr">
        <is>
          <t>0                      BL 0980000S  7                  S  25          1985</t>
        </is>
      </c>
      <c r="F634" t="inlineStr">
        <is>
          <t>Iberian popular religion, 600 B.C. to 700 A.D. : Celts, Romans, and Visigoths / Joyce E. Salisbury ; [illustrations by Joseph Papin].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M634" t="inlineStr">
        <is>
          <t>Salisbury, Joyce E.</t>
        </is>
      </c>
      <c r="N634" t="inlineStr">
        <is>
          <t>New York : E. Mellen Press, c1985.</t>
        </is>
      </c>
      <c r="O634" t="inlineStr">
        <is>
          <t>1985</t>
        </is>
      </c>
      <c r="Q634" t="inlineStr">
        <is>
          <t>eng</t>
        </is>
      </c>
      <c r="R634" t="inlineStr">
        <is>
          <t>nyu</t>
        </is>
      </c>
      <c r="S634" t="inlineStr">
        <is>
          <t>Texts and studies in religion ; v. 20</t>
        </is>
      </c>
      <c r="T634" t="inlineStr">
        <is>
          <t xml:space="preserve">BL </t>
        </is>
      </c>
      <c r="U634" t="n">
        <v>1</v>
      </c>
      <c r="V634" t="n">
        <v>1</v>
      </c>
      <c r="W634" t="inlineStr">
        <is>
          <t>1994-09-07</t>
        </is>
      </c>
      <c r="X634" t="inlineStr">
        <is>
          <t>1994-09-07</t>
        </is>
      </c>
      <c r="Y634" t="inlineStr">
        <is>
          <t>1990-10-16</t>
        </is>
      </c>
      <c r="Z634" t="inlineStr">
        <is>
          <t>1990-10-16</t>
        </is>
      </c>
      <c r="AA634" t="n">
        <v>312</v>
      </c>
      <c r="AB634" t="n">
        <v>259</v>
      </c>
      <c r="AC634" t="n">
        <v>260</v>
      </c>
      <c r="AD634" t="n">
        <v>2</v>
      </c>
      <c r="AE634" t="n">
        <v>2</v>
      </c>
      <c r="AF634" t="n">
        <v>14</v>
      </c>
      <c r="AG634" t="n">
        <v>14</v>
      </c>
      <c r="AH634" t="n">
        <v>3</v>
      </c>
      <c r="AI634" t="n">
        <v>3</v>
      </c>
      <c r="AJ634" t="n">
        <v>3</v>
      </c>
      <c r="AK634" t="n">
        <v>3</v>
      </c>
      <c r="AL634" t="n">
        <v>10</v>
      </c>
      <c r="AM634" t="n">
        <v>10</v>
      </c>
      <c r="AN634" t="n">
        <v>1</v>
      </c>
      <c r="AO634" t="n">
        <v>1</v>
      </c>
      <c r="AP634" t="n">
        <v>0</v>
      </c>
      <c r="AQ634" t="n">
        <v>0</v>
      </c>
      <c r="AR634" t="inlineStr">
        <is>
          <t>No</t>
        </is>
      </c>
      <c r="AS634" t="inlineStr">
        <is>
          <t>Yes</t>
        </is>
      </c>
      <c r="AT634">
        <f>HYPERLINK("http://catalog.hathitrust.org/Record/000412718","HathiTrust Record")</f>
        <v/>
      </c>
      <c r="AU634">
        <f>HYPERLINK("https://creighton-primo.hosted.exlibrisgroup.com/primo-explore/search?tab=default_tab&amp;search_scope=EVERYTHING&amp;vid=01CRU&amp;lang=en_US&amp;offset=0&amp;query=any,contains,991000550749702656","Catalog Record")</f>
        <v/>
      </c>
      <c r="AV634">
        <f>HYPERLINK("http://www.worldcat.org/oclc/11533085","WorldCat Record")</f>
        <v/>
      </c>
      <c r="AW634" t="inlineStr">
        <is>
          <t>321445362:eng</t>
        </is>
      </c>
      <c r="AX634" t="inlineStr">
        <is>
          <t>11533085</t>
        </is>
      </c>
      <c r="AY634" t="inlineStr">
        <is>
          <t>991000550749702656</t>
        </is>
      </c>
      <c r="AZ634" t="inlineStr">
        <is>
          <t>991000550749702656</t>
        </is>
      </c>
      <c r="BA634" t="inlineStr">
        <is>
          <t>2258254180002656</t>
        </is>
      </c>
      <c r="BB634" t="inlineStr">
        <is>
          <t>BOOK</t>
        </is>
      </c>
      <c r="BD634" t="inlineStr">
        <is>
          <t>9780889468092</t>
        </is>
      </c>
      <c r="BE634" t="inlineStr">
        <is>
          <t>32285000348994</t>
        </is>
      </c>
      <c r="BF634" t="inlineStr">
        <is>
          <t>893249457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